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J:\0855-伊藤尊\0.EXCEL記入\"/>
    </mc:Choice>
  </mc:AlternateContent>
  <xr:revisionPtr revIDLastSave="0" documentId="13_ncr:1_{56DCD781-BA35-4E6B-9731-403641D62980}" xr6:coauthVersionLast="47" xr6:coauthVersionMax="47" xr10:uidLastSave="{00000000-0000-0000-0000-000000000000}"/>
  <workbookProtection workbookAlgorithmName="SHA-512" workbookHashValue="MnXINbaa1dwV+SHpGZ7lt++GVWHNXIamB6l6s3yCK8mFXADDt46cexN3/YV/XuLZjKBFaZL2i6vBJJ9QDFU/Dw==" workbookSaltValue="EJXu5FeDnbrCJ5mAcn/cag==" workbookSpinCount="100000" lockStructure="1"/>
  <bookViews>
    <workbookView xWindow="-120" yWindow="-120" windowWidth="29040" windowHeight="15840" xr2:uid="{00000000-000D-0000-FFFF-FFFF00000000}"/>
  </bookViews>
  <sheets>
    <sheet name="条件入力" sheetId="8" r:id="rId1"/>
    <sheet name="面積計算" sheetId="1" r:id="rId2"/>
    <sheet name="食数計算" sheetId="6" r:id="rId3"/>
    <sheet name="改定記録" sheetId="7" state="hidden" r:id="rId4"/>
    <sheet name="阻集器一覧表" sheetId="2" state="hidden" r:id="rId5"/>
  </sheets>
  <definedNames>
    <definedName name="_xlnm._FilterDatabase" localSheetId="0" hidden="1">条件入力!#REF!</definedName>
    <definedName name="_xlnm._FilterDatabase" localSheetId="4" hidden="1">阻集器一覧表!$A$20:$R$141</definedName>
    <definedName name="_xlnm.Print_Area" localSheetId="3">改定記録!$A$1:$K$63</definedName>
    <definedName name="_xlnm.Print_Area" localSheetId="0">条件入力!$A$1:$G$34</definedName>
    <definedName name="_xlnm.Print_Area" localSheetId="2">食数計算!$B$7:$G$68</definedName>
    <definedName name="_xlnm.Print_Area" localSheetId="4">阻集器一覧表!$B$5:$J$165</definedName>
    <definedName name="_xlnm.Print_Area" localSheetId="1">面積計算!$B$7:$G$69</definedName>
  </definedNames>
  <calcPr calcId="191029"/>
</workbook>
</file>

<file path=xl/calcChain.xml><?xml version="1.0" encoding="utf-8"?>
<calcChain xmlns="http://schemas.openxmlformats.org/spreadsheetml/2006/main">
  <c r="E24" i="1" l="1"/>
  <c r="E23" i="1"/>
  <c r="E17" i="6"/>
  <c r="F154" i="2"/>
  <c r="F153" i="2"/>
  <c r="F152" i="2"/>
  <c r="F151" i="2"/>
  <c r="F77" i="2" l="1"/>
  <c r="F69" i="2"/>
  <c r="E150" i="2" l="1"/>
  <c r="F150" i="2"/>
  <c r="F84" i="2"/>
  <c r="F83" i="2"/>
  <c r="F82" i="2"/>
  <c r="F81" i="2"/>
  <c r="F80" i="2"/>
  <c r="F79" i="2"/>
  <c r="F78" i="2"/>
  <c r="F76" i="2"/>
  <c r="F75" i="2"/>
  <c r="F74" i="2"/>
  <c r="F73" i="2"/>
  <c r="F72" i="2"/>
  <c r="F71" i="2"/>
  <c r="F70" i="2"/>
  <c r="F120" i="2"/>
  <c r="F119" i="2"/>
  <c r="F118" i="2"/>
  <c r="F117" i="2"/>
  <c r="F116" i="2"/>
  <c r="F115" i="2"/>
  <c r="F114" i="2"/>
  <c r="F113"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137" i="2"/>
  <c r="F138" i="2"/>
  <c r="F139" i="2"/>
  <c r="F140" i="2"/>
  <c r="F141" i="2"/>
  <c r="F136" i="2"/>
  <c r="F135" i="2"/>
  <c r="F134" i="2"/>
  <c r="F133" i="2"/>
  <c r="F132" i="2"/>
  <c r="F131" i="2"/>
  <c r="F130" i="2"/>
  <c r="F129" i="2"/>
  <c r="F128" i="2"/>
  <c r="F127" i="2"/>
  <c r="F126" i="2"/>
  <c r="F125" i="2"/>
  <c r="F124" i="2"/>
  <c r="F123" i="2"/>
  <c r="F122" i="2"/>
  <c r="F121"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E15" i="8"/>
  <c r="E16" i="1"/>
  <c r="I16" i="1" s="1"/>
  <c r="E17" i="1"/>
  <c r="F57" i="6"/>
  <c r="H3" i="2" s="1"/>
  <c r="F58" i="6"/>
  <c r="I3" i="2" s="1"/>
  <c r="F59" i="6"/>
  <c r="J3" i="2" s="1"/>
  <c r="E16" i="6"/>
  <c r="I16" i="6" s="1"/>
  <c r="I18" i="6" s="1"/>
  <c r="E18" i="6" s="1"/>
  <c r="F60" i="1"/>
  <c r="H4" i="2" s="1"/>
  <c r="F61" i="1"/>
  <c r="I4" i="2" s="1"/>
  <c r="F62" i="1"/>
  <c r="J4" i="2" s="1"/>
  <c r="E23" i="6"/>
  <c r="G23" i="6" s="1"/>
  <c r="E25" i="6"/>
  <c r="E24" i="6"/>
  <c r="G24" i="6" s="1"/>
  <c r="G23" i="1"/>
  <c r="E27" i="1"/>
  <c r="G24" i="1"/>
  <c r="E136" i="2"/>
  <c r="E137" i="2"/>
  <c r="E138" i="2"/>
  <c r="E139" i="2"/>
  <c r="E140" i="2"/>
  <c r="E141" i="2"/>
  <c r="E142" i="2"/>
  <c r="F142" i="2"/>
  <c r="E143" i="2"/>
  <c r="F143" i="2"/>
  <c r="E144" i="2"/>
  <c r="F144" i="2"/>
  <c r="E145" i="2"/>
  <c r="F145" i="2"/>
  <c r="E146" i="2"/>
  <c r="F146" i="2" s="1"/>
  <c r="E147" i="2"/>
  <c r="F147" i="2"/>
  <c r="E148" i="2"/>
  <c r="F148" i="2" s="1"/>
  <c r="E149" i="2"/>
  <c r="F149" i="2"/>
  <c r="D9" i="6"/>
  <c r="D8" i="6"/>
  <c r="E8" i="6"/>
  <c r="D9" i="1"/>
  <c r="D8" i="1"/>
  <c r="E8" i="1"/>
  <c r="G7" i="6"/>
  <c r="G7" i="1"/>
  <c r="O152" i="2" l="1"/>
  <c r="O153" i="2"/>
  <c r="O151" i="2"/>
  <c r="O154" i="2"/>
  <c r="K151" i="2"/>
  <c r="K154" i="2"/>
  <c r="K152" i="2"/>
  <c r="K153" i="2"/>
  <c r="I20" i="6"/>
  <c r="E20" i="6" s="1"/>
  <c r="I19" i="6"/>
  <c r="I20" i="1"/>
  <c r="E20" i="1" s="1"/>
  <c r="I21" i="1"/>
  <c r="E21" i="1" s="1"/>
  <c r="I22" i="1"/>
  <c r="E22" i="1" s="1"/>
  <c r="I18" i="1"/>
  <c r="E18" i="1" s="1"/>
  <c r="I21" i="6"/>
  <c r="E21" i="6" s="1"/>
  <c r="E38" i="6" s="1"/>
  <c r="I22" i="6"/>
  <c r="E22" i="6" s="1"/>
  <c r="E42" i="6" s="1"/>
  <c r="D41" i="6" s="1"/>
  <c r="O77" i="2"/>
  <c r="K77" i="2"/>
  <c r="K69" i="2"/>
  <c r="O69" i="2"/>
  <c r="O85" i="2"/>
  <c r="O139" i="2"/>
  <c r="O117" i="2"/>
  <c r="O113" i="2"/>
  <c r="O102" i="2"/>
  <c r="O36" i="2"/>
  <c r="O98" i="2"/>
  <c r="O83" i="2"/>
  <c r="O91" i="2"/>
  <c r="O50" i="2"/>
  <c r="O76" i="2"/>
  <c r="O87" i="2"/>
  <c r="O37" i="2"/>
  <c r="O137" i="2"/>
  <c r="O128" i="2"/>
  <c r="O126" i="2"/>
  <c r="O143" i="2"/>
  <c r="O48" i="2"/>
  <c r="O79" i="2"/>
  <c r="O95" i="2"/>
  <c r="O110" i="2"/>
  <c r="O133" i="2"/>
  <c r="O32" i="2"/>
  <c r="O54" i="2"/>
  <c r="O75" i="2"/>
  <c r="O90" i="2"/>
  <c r="O136" i="2"/>
  <c r="O107" i="2"/>
  <c r="O93" i="2"/>
  <c r="O127" i="2"/>
  <c r="O108" i="2"/>
  <c r="O104" i="2"/>
  <c r="O103" i="2"/>
  <c r="O135" i="2"/>
  <c r="O105" i="2"/>
  <c r="O138" i="2"/>
  <c r="O33" i="2"/>
  <c r="O40" i="2"/>
  <c r="O42" i="2"/>
  <c r="O45" i="2"/>
  <c r="O62" i="2"/>
  <c r="O116" i="2"/>
  <c r="O78" i="2"/>
  <c r="O80" i="2"/>
  <c r="O72" i="2"/>
  <c r="O129" i="2"/>
  <c r="O122" i="2"/>
  <c r="O145" i="2"/>
  <c r="O148" i="2"/>
  <c r="O144" i="2"/>
  <c r="O141" i="2"/>
  <c r="O94" i="2"/>
  <c r="O30" i="2"/>
  <c r="O44" i="2"/>
  <c r="O39" i="2"/>
  <c r="O46" i="2"/>
  <c r="O53" i="2"/>
  <c r="O65" i="2"/>
  <c r="O114" i="2"/>
  <c r="O82" i="2"/>
  <c r="O84" i="2"/>
  <c r="O123" i="2"/>
  <c r="O99" i="2"/>
  <c r="O106" i="2"/>
  <c r="O125" i="2"/>
  <c r="O86" i="2"/>
  <c r="O147" i="2"/>
  <c r="O109" i="2"/>
  <c r="O134" i="2"/>
  <c r="O24" i="2"/>
  <c r="O22" i="2"/>
  <c r="O38" i="2"/>
  <c r="O52" i="2"/>
  <c r="O47" i="2"/>
  <c r="O68" i="2"/>
  <c r="O118" i="2"/>
  <c r="O115" i="2"/>
  <c r="O71" i="2"/>
  <c r="O73" i="2"/>
  <c r="O112" i="2"/>
  <c r="O111" i="2"/>
  <c r="O146" i="2"/>
  <c r="O92" i="2"/>
  <c r="O149" i="2"/>
  <c r="O130" i="2"/>
  <c r="O132" i="2"/>
  <c r="O124" i="2"/>
  <c r="O56" i="2"/>
  <c r="O70" i="2"/>
  <c r="I19" i="1"/>
  <c r="E19" i="1" s="1"/>
  <c r="O89" i="2"/>
  <c r="O100" i="2"/>
  <c r="O140" i="2"/>
  <c r="O142" i="2"/>
  <c r="O121" i="2"/>
  <c r="O88" i="2"/>
  <c r="O131" i="2"/>
  <c r="O97" i="2"/>
  <c r="O101" i="2"/>
  <c r="O96" i="2"/>
  <c r="O25" i="2"/>
  <c r="O35" i="2"/>
  <c r="O41" i="2"/>
  <c r="O43" i="2"/>
  <c r="O49" i="2"/>
  <c r="O51" i="2"/>
  <c r="O59" i="2"/>
  <c r="O67" i="2"/>
  <c r="O120" i="2"/>
  <c r="O119" i="2"/>
  <c r="O74" i="2"/>
  <c r="O81" i="2"/>
  <c r="K150" i="2"/>
  <c r="K81" i="2"/>
  <c r="K73" i="2"/>
  <c r="K115" i="2"/>
  <c r="K117" i="2"/>
  <c r="K61" i="2"/>
  <c r="K53" i="2"/>
  <c r="K47" i="2"/>
  <c r="K48" i="2"/>
  <c r="K38" i="2"/>
  <c r="K25" i="2"/>
  <c r="K30" i="2"/>
  <c r="K27" i="2"/>
  <c r="K129" i="2"/>
  <c r="K83" i="2"/>
  <c r="K71" i="2"/>
  <c r="K114" i="2"/>
  <c r="K68" i="2"/>
  <c r="K59" i="2"/>
  <c r="K54" i="2"/>
  <c r="K49" i="2"/>
  <c r="K39" i="2"/>
  <c r="K21" i="2"/>
  <c r="K28" i="2"/>
  <c r="K122" i="2"/>
  <c r="K107" i="2"/>
  <c r="K108" i="2"/>
  <c r="K146" i="2"/>
  <c r="K123" i="2"/>
  <c r="K88" i="2"/>
  <c r="K144" i="2"/>
  <c r="K79" i="2"/>
  <c r="K72" i="2"/>
  <c r="K119" i="2"/>
  <c r="K67" i="2"/>
  <c r="K64" i="2"/>
  <c r="K55" i="2"/>
  <c r="K82" i="2"/>
  <c r="K74" i="2"/>
  <c r="K118" i="2"/>
  <c r="K63" i="2"/>
  <c r="K57" i="2"/>
  <c r="K52" i="2"/>
  <c r="K37" i="2"/>
  <c r="K36" i="2"/>
  <c r="K33" i="2"/>
  <c r="K112" i="2"/>
  <c r="K100" i="2"/>
  <c r="K124" i="2"/>
  <c r="K103" i="2"/>
  <c r="K143" i="2"/>
  <c r="K134" i="2"/>
  <c r="K89" i="2"/>
  <c r="K125" i="2"/>
  <c r="K75" i="2"/>
  <c r="K120" i="2"/>
  <c r="K42" i="2"/>
  <c r="K22" i="2"/>
  <c r="K142" i="2"/>
  <c r="K87" i="2"/>
  <c r="K128" i="2"/>
  <c r="K97" i="2"/>
  <c r="K95" i="2"/>
  <c r="K141" i="2"/>
  <c r="K92" i="2"/>
  <c r="K76" i="2"/>
  <c r="K116" i="2"/>
  <c r="K60" i="2"/>
  <c r="K51" i="2"/>
  <c r="K44" i="2"/>
  <c r="K34" i="2"/>
  <c r="K102" i="2"/>
  <c r="K93" i="2"/>
  <c r="K149" i="2"/>
  <c r="K130" i="2"/>
  <c r="K147" i="2"/>
  <c r="K78" i="2"/>
  <c r="K65" i="2"/>
  <c r="K56" i="2"/>
  <c r="K50" i="2"/>
  <c r="K40" i="2"/>
  <c r="K35" i="2"/>
  <c r="K26" i="2"/>
  <c r="K85" i="2"/>
  <c r="K91" i="2"/>
  <c r="K110" i="2"/>
  <c r="K94" i="2"/>
  <c r="K86" i="2"/>
  <c r="K138" i="2"/>
  <c r="K101" i="2"/>
  <c r="K109" i="2"/>
  <c r="K137" i="2"/>
  <c r="K70" i="2"/>
  <c r="K113" i="2"/>
  <c r="K41" i="2"/>
  <c r="K32" i="2"/>
  <c r="K132" i="2"/>
  <c r="K139" i="2"/>
  <c r="K90" i="2"/>
  <c r="K131" i="2"/>
  <c r="K121" i="2"/>
  <c r="K62" i="2"/>
  <c r="K31" i="2"/>
  <c r="K106" i="2"/>
  <c r="K99" i="2"/>
  <c r="K145" i="2"/>
  <c r="K111" i="2"/>
  <c r="K80" i="2"/>
  <c r="K58" i="2"/>
  <c r="K45" i="2"/>
  <c r="K43" i="2"/>
  <c r="K29" i="2"/>
  <c r="K136" i="2"/>
  <c r="K126" i="2"/>
  <c r="K23" i="2"/>
  <c r="K66" i="2"/>
  <c r="K104" i="2"/>
  <c r="K133" i="2"/>
  <c r="K84" i="2"/>
  <c r="K96" i="2"/>
  <c r="K127" i="2"/>
  <c r="K140" i="2"/>
  <c r="K98" i="2"/>
  <c r="K105" i="2"/>
  <c r="K148" i="2"/>
  <c r="K135" i="2"/>
  <c r="K46" i="2"/>
  <c r="I17" i="1"/>
  <c r="M9" i="1"/>
  <c r="M8" i="1"/>
  <c r="K8" i="1" s="1"/>
  <c r="K24" i="2"/>
  <c r="O150" i="2"/>
  <c r="O63" i="2"/>
  <c r="O66" i="2"/>
  <c r="O61" i="2"/>
  <c r="O64" i="2"/>
  <c r="O55" i="2"/>
  <c r="O57" i="2"/>
  <c r="O60" i="2"/>
  <c r="O58" i="2"/>
  <c r="O31" i="2"/>
  <c r="O26" i="2"/>
  <c r="O34" i="2"/>
  <c r="O21" i="2"/>
  <c r="O23" i="2"/>
  <c r="O29" i="2"/>
  <c r="O28" i="2"/>
  <c r="O27" i="2"/>
  <c r="I17" i="6"/>
  <c r="I25" i="1"/>
  <c r="E25" i="1" s="1"/>
  <c r="G25" i="1" s="1"/>
  <c r="E19" i="6" l="1"/>
  <c r="D30" i="6" s="1"/>
  <c r="D40" i="6"/>
  <c r="E46" i="6"/>
  <c r="D45" i="6" s="1"/>
  <c r="D37" i="6"/>
  <c r="D36" i="6"/>
  <c r="G19" i="1"/>
  <c r="D44" i="6"/>
  <c r="K9" i="1"/>
  <c r="K10" i="1" s="1"/>
  <c r="U23" i="1"/>
  <c r="U22" i="1"/>
  <c r="S23" i="1"/>
  <c r="T23" i="1" s="1"/>
  <c r="U21" i="1"/>
  <c r="U25" i="1"/>
  <c r="S26" i="1"/>
  <c r="T26" i="1" s="1"/>
  <c r="S21" i="1"/>
  <c r="T21" i="1" s="1"/>
  <c r="S22" i="1"/>
  <c r="T22" i="1" s="1"/>
  <c r="S28" i="1"/>
  <c r="T28" i="1" s="1"/>
  <c r="U27" i="1"/>
  <c r="U19" i="1"/>
  <c r="U26" i="1"/>
  <c r="U28" i="1"/>
  <c r="S24" i="1"/>
  <c r="T24" i="1" s="1"/>
  <c r="S25" i="1"/>
  <c r="T25" i="1" s="1"/>
  <c r="S19" i="1"/>
  <c r="T19" i="1" s="1"/>
  <c r="S20" i="1"/>
  <c r="T20" i="1" s="1"/>
  <c r="U24" i="1"/>
  <c r="U20" i="1"/>
  <c r="S27" i="1"/>
  <c r="T27" i="1" s="1"/>
  <c r="E32" i="6" l="1"/>
  <c r="G19" i="6"/>
  <c r="V25" i="1"/>
  <c r="V26" i="1"/>
  <c r="F52" i="6"/>
  <c r="V28" i="1"/>
  <c r="V23" i="1"/>
  <c r="V20" i="1"/>
  <c r="V22" i="1"/>
  <c r="V19" i="1"/>
  <c r="V24" i="1"/>
  <c r="V27" i="1"/>
  <c r="V21" i="1"/>
  <c r="F51" i="6" l="1"/>
  <c r="P61" i="2" s="1"/>
  <c r="Q61" i="2" s="1"/>
  <c r="R61" i="2" s="1"/>
  <c r="D31" i="6"/>
  <c r="P104" i="2"/>
  <c r="Q104" i="2" s="1"/>
  <c r="R104" i="2" s="1"/>
  <c r="P140" i="2"/>
  <c r="Q140" i="2" s="1"/>
  <c r="R140" i="2" s="1"/>
  <c r="P81" i="2"/>
  <c r="Q81" i="2" s="1"/>
  <c r="R81" i="2" s="1"/>
  <c r="P120" i="2"/>
  <c r="Q120" i="2" s="1"/>
  <c r="R120" i="2" s="1"/>
  <c r="P68" i="2"/>
  <c r="Q68" i="2" s="1"/>
  <c r="R68" i="2" s="1"/>
  <c r="P40" i="2"/>
  <c r="Q40" i="2" s="1"/>
  <c r="R40" i="2" s="1"/>
  <c r="P132" i="2"/>
  <c r="Q132" i="2" s="1"/>
  <c r="R132" i="2" s="1"/>
  <c r="P124" i="2"/>
  <c r="Q124" i="2" s="1"/>
  <c r="R124" i="2" s="1"/>
  <c r="P25" i="2"/>
  <c r="Q25" i="2" s="1"/>
  <c r="R25" i="2" s="1"/>
  <c r="P55" i="2"/>
  <c r="Q55" i="2" s="1"/>
  <c r="R55" i="2" s="1"/>
  <c r="P28" i="2"/>
  <c r="Q28" i="2" s="1"/>
  <c r="R28" i="2" s="1"/>
  <c r="P110" i="2"/>
  <c r="Q110" i="2" s="1"/>
  <c r="R110" i="2" s="1"/>
  <c r="P76" i="2"/>
  <c r="Q76" i="2" s="1"/>
  <c r="R76" i="2" s="1"/>
  <c r="P116" i="2"/>
  <c r="Q116" i="2" s="1"/>
  <c r="R116" i="2" s="1"/>
  <c r="P133" i="2"/>
  <c r="Q133" i="2" s="1"/>
  <c r="R133" i="2" s="1"/>
  <c r="P122" i="2"/>
  <c r="Q122" i="2" s="1"/>
  <c r="R122" i="2" s="1"/>
  <c r="P129" i="2"/>
  <c r="Q129" i="2" s="1"/>
  <c r="R129" i="2" s="1"/>
  <c r="M10" i="1"/>
  <c r="I26" i="1" s="1"/>
  <c r="E26" i="1" s="1"/>
  <c r="D43" i="1" s="1"/>
  <c r="P90" i="2"/>
  <c r="Q90" i="2" s="1"/>
  <c r="R90" i="2" s="1"/>
  <c r="P52" i="2"/>
  <c r="Q52" i="2" s="1"/>
  <c r="R52" i="2" s="1"/>
  <c r="P142" i="2"/>
  <c r="Q142" i="2" s="1"/>
  <c r="R142" i="2" s="1"/>
  <c r="P39" i="2"/>
  <c r="Q39" i="2" s="1"/>
  <c r="R39" i="2" s="1"/>
  <c r="P31" i="2"/>
  <c r="Q31" i="2" s="1"/>
  <c r="R31" i="2" s="1"/>
  <c r="P50" i="2"/>
  <c r="Q50" i="2" s="1"/>
  <c r="R50" i="2" s="1"/>
  <c r="P38" i="2"/>
  <c r="Q38" i="2" s="1"/>
  <c r="R38" i="2" s="1"/>
  <c r="P93" i="2"/>
  <c r="Q93" i="2" s="1"/>
  <c r="R93" i="2" s="1"/>
  <c r="P119" i="2"/>
  <c r="Q119" i="2" s="1"/>
  <c r="R119" i="2" s="1"/>
  <c r="P82" i="2"/>
  <c r="Q82" i="2" s="1"/>
  <c r="R82" i="2" s="1"/>
  <c r="P144" i="2"/>
  <c r="Q144" i="2" s="1"/>
  <c r="R144" i="2" s="1"/>
  <c r="P45" i="2"/>
  <c r="Q45" i="2" s="1"/>
  <c r="R45" i="2" s="1"/>
  <c r="P103" i="2"/>
  <c r="Q103" i="2" s="1"/>
  <c r="R103" i="2" s="1"/>
  <c r="P145" i="2"/>
  <c r="Q145" i="2" s="1"/>
  <c r="R145" i="2" s="1"/>
  <c r="P66" i="2"/>
  <c r="Q66" i="2" s="1"/>
  <c r="R66" i="2" s="1"/>
  <c r="P32" i="2"/>
  <c r="Q32" i="2" s="1"/>
  <c r="R32" i="2" s="1"/>
  <c r="P123" i="2"/>
  <c r="Q123" i="2" s="1"/>
  <c r="R123" i="2" s="1"/>
  <c r="P118" i="2"/>
  <c r="Q118" i="2" s="1"/>
  <c r="R118" i="2" s="1"/>
  <c r="P85" i="2"/>
  <c r="Q85" i="2" s="1"/>
  <c r="R85" i="2" s="1"/>
  <c r="P49" i="2"/>
  <c r="Q49" i="2" s="1"/>
  <c r="R49" i="2" s="1"/>
  <c r="P79" i="2"/>
  <c r="Q79" i="2" s="1"/>
  <c r="R79" i="2" s="1"/>
  <c r="P97" i="2"/>
  <c r="Q97" i="2" s="1"/>
  <c r="R97" i="2" s="1"/>
  <c r="P23" i="2"/>
  <c r="Q23" i="2" s="1"/>
  <c r="R23" i="2" s="1"/>
  <c r="P60" i="2"/>
  <c r="Q60" i="2" s="1"/>
  <c r="R60" i="2" s="1"/>
  <c r="P115" i="2"/>
  <c r="Q115" i="2" s="1"/>
  <c r="R115" i="2" s="1"/>
  <c r="P62" i="2"/>
  <c r="Q62" i="2" s="1"/>
  <c r="R62" i="2" s="1"/>
  <c r="P89" i="2"/>
  <c r="Q89" i="2" s="1"/>
  <c r="R89" i="2" s="1"/>
  <c r="P109" i="2"/>
  <c r="Q109" i="2" s="1"/>
  <c r="R109" i="2" s="1"/>
  <c r="P94" i="2"/>
  <c r="Q94" i="2" s="1"/>
  <c r="R94" i="2" s="1"/>
  <c r="P35" i="2"/>
  <c r="Q35" i="2" s="1"/>
  <c r="R35" i="2" s="1"/>
  <c r="P136" i="2"/>
  <c r="Q136" i="2" s="1"/>
  <c r="R136" i="2" s="1"/>
  <c r="P22" i="2"/>
  <c r="Q22" i="2" s="1"/>
  <c r="R22" i="2" s="1"/>
  <c r="P63" i="2"/>
  <c r="Q63" i="2" s="1"/>
  <c r="R63" i="2" s="1"/>
  <c r="P30" i="2"/>
  <c r="Q30" i="2" s="1"/>
  <c r="R30" i="2" s="1"/>
  <c r="P57" i="2"/>
  <c r="Q57" i="2" s="1"/>
  <c r="R57" i="2" s="1"/>
  <c r="P149" i="2"/>
  <c r="Q149" i="2" s="1"/>
  <c r="R149" i="2" s="1"/>
  <c r="P41" i="2"/>
  <c r="Q41" i="2" s="1"/>
  <c r="R41" i="2" s="1"/>
  <c r="P70" i="2"/>
  <c r="Q70" i="2" s="1"/>
  <c r="R70" i="2" s="1"/>
  <c r="P83" i="2"/>
  <c r="Q83" i="2" s="1"/>
  <c r="R83" i="2" s="1"/>
  <c r="P73" i="2"/>
  <c r="Q73" i="2" s="1"/>
  <c r="R73" i="2" s="1"/>
  <c r="P125" i="2"/>
  <c r="Q125" i="2" s="1"/>
  <c r="R125" i="2" s="1"/>
  <c r="P139" i="2"/>
  <c r="Q139" i="2" s="1"/>
  <c r="R139" i="2" s="1"/>
  <c r="P107" i="2"/>
  <c r="Q107" i="2" s="1"/>
  <c r="R107" i="2" s="1"/>
  <c r="P77" i="2"/>
  <c r="Q77" i="2" s="1"/>
  <c r="R77" i="2" s="1"/>
  <c r="P36" i="2"/>
  <c r="Q36" i="2" s="1"/>
  <c r="R36" i="2" s="1"/>
  <c r="P108" i="2"/>
  <c r="Q108" i="2" s="1"/>
  <c r="R108" i="2" s="1"/>
  <c r="P46" i="2"/>
  <c r="Q46" i="2" s="1"/>
  <c r="R46" i="2" s="1"/>
  <c r="P96" i="2"/>
  <c r="Q96" i="2" s="1"/>
  <c r="R96" i="2" s="1"/>
  <c r="P88" i="2"/>
  <c r="Q88" i="2" s="1"/>
  <c r="R88" i="2" s="1"/>
  <c r="P113" i="2" l="1"/>
  <c r="Q113" i="2" s="1"/>
  <c r="R113" i="2" s="1"/>
  <c r="P95" i="2"/>
  <c r="Q95" i="2" s="1"/>
  <c r="R95" i="2" s="1"/>
  <c r="P69" i="2"/>
  <c r="Q69" i="2" s="1"/>
  <c r="R69" i="2" s="1"/>
  <c r="P26" i="2"/>
  <c r="Q26" i="2" s="1"/>
  <c r="R26" i="2" s="1"/>
  <c r="P51" i="2"/>
  <c r="Q51" i="2" s="1"/>
  <c r="R51" i="2" s="1"/>
  <c r="P111" i="2"/>
  <c r="Q111" i="2" s="1"/>
  <c r="R111" i="2" s="1"/>
  <c r="P130" i="2"/>
  <c r="Q130" i="2" s="1"/>
  <c r="R130" i="2" s="1"/>
  <c r="P75" i="2"/>
  <c r="Q75" i="2" s="1"/>
  <c r="R75" i="2" s="1"/>
  <c r="P138" i="2"/>
  <c r="Q138" i="2" s="1"/>
  <c r="R138" i="2" s="1"/>
  <c r="P86" i="2"/>
  <c r="Q86" i="2" s="1"/>
  <c r="R86" i="2" s="1"/>
  <c r="P87" i="2"/>
  <c r="Q87" i="2" s="1"/>
  <c r="R87" i="2" s="1"/>
  <c r="P151" i="2"/>
  <c r="Q151" i="2" s="1"/>
  <c r="R151" i="2" s="1"/>
  <c r="P37" i="2"/>
  <c r="Q37" i="2" s="1"/>
  <c r="R37" i="2" s="1"/>
  <c r="P152" i="2"/>
  <c r="Q152" i="2" s="1"/>
  <c r="R152" i="2" s="1"/>
  <c r="P78" i="2"/>
  <c r="Q78" i="2" s="1"/>
  <c r="R78" i="2" s="1"/>
  <c r="P47" i="2"/>
  <c r="Q47" i="2" s="1"/>
  <c r="R47" i="2" s="1"/>
  <c r="P92" i="2"/>
  <c r="Q92" i="2" s="1"/>
  <c r="R92" i="2" s="1"/>
  <c r="P48" i="2"/>
  <c r="Q48" i="2" s="1"/>
  <c r="R48" i="2" s="1"/>
  <c r="P53" i="2"/>
  <c r="Q53" i="2" s="1"/>
  <c r="R53" i="2" s="1"/>
  <c r="P91" i="2"/>
  <c r="Q91" i="2" s="1"/>
  <c r="R91" i="2" s="1"/>
  <c r="P147" i="2"/>
  <c r="Q147" i="2" s="1"/>
  <c r="R147" i="2" s="1"/>
  <c r="P154" i="2"/>
  <c r="Q154" i="2" s="1"/>
  <c r="R154" i="2" s="1"/>
  <c r="P21" i="2"/>
  <c r="Q21" i="2" s="1"/>
  <c r="R21" i="2" s="1"/>
  <c r="P59" i="2"/>
  <c r="Q59" i="2" s="1"/>
  <c r="R59" i="2" s="1"/>
  <c r="P65" i="2"/>
  <c r="Q65" i="2" s="1"/>
  <c r="R65" i="2" s="1"/>
  <c r="P56" i="2"/>
  <c r="Q56" i="2" s="1"/>
  <c r="R56" i="2" s="1"/>
  <c r="P29" i="2"/>
  <c r="Q29" i="2" s="1"/>
  <c r="R29" i="2" s="1"/>
  <c r="P143" i="2"/>
  <c r="Q143" i="2" s="1"/>
  <c r="R143" i="2" s="1"/>
  <c r="P43" i="2"/>
  <c r="Q43" i="2" s="1"/>
  <c r="R43" i="2" s="1"/>
  <c r="P72" i="2"/>
  <c r="Q72" i="2" s="1"/>
  <c r="R72" i="2" s="1"/>
  <c r="P148" i="2"/>
  <c r="Q148" i="2" s="1"/>
  <c r="R148" i="2" s="1"/>
  <c r="P126" i="2"/>
  <c r="Q126" i="2" s="1"/>
  <c r="R126" i="2" s="1"/>
  <c r="P99" i="2"/>
  <c r="Q99" i="2" s="1"/>
  <c r="R99" i="2" s="1"/>
  <c r="P67" i="2"/>
  <c r="Q67" i="2" s="1"/>
  <c r="R67" i="2" s="1"/>
  <c r="P71" i="2"/>
  <c r="Q71" i="2" s="1"/>
  <c r="R71" i="2" s="1"/>
  <c r="P117" i="2"/>
  <c r="Q117" i="2" s="1"/>
  <c r="R117" i="2" s="1"/>
  <c r="P134" i="2"/>
  <c r="Q134" i="2" s="1"/>
  <c r="R134" i="2" s="1"/>
  <c r="P106" i="2"/>
  <c r="Q106" i="2" s="1"/>
  <c r="R106" i="2" s="1"/>
  <c r="P42" i="2"/>
  <c r="Q42" i="2" s="1"/>
  <c r="R42" i="2" s="1"/>
  <c r="P64" i="2"/>
  <c r="Q64" i="2" s="1"/>
  <c r="R64" i="2" s="1"/>
  <c r="P135" i="2"/>
  <c r="Q135" i="2" s="1"/>
  <c r="R135" i="2" s="1"/>
  <c r="P150" i="2"/>
  <c r="Q150" i="2" s="1"/>
  <c r="R150" i="2" s="1"/>
  <c r="P131" i="2"/>
  <c r="Q131" i="2" s="1"/>
  <c r="R131" i="2" s="1"/>
  <c r="P101" i="2"/>
  <c r="Q101" i="2" s="1"/>
  <c r="R101" i="2" s="1"/>
  <c r="P44" i="2"/>
  <c r="Q44" i="2" s="1"/>
  <c r="R44" i="2" s="1"/>
  <c r="P100" i="2"/>
  <c r="Q100" i="2" s="1"/>
  <c r="R100" i="2" s="1"/>
  <c r="P33" i="2"/>
  <c r="Q33" i="2" s="1"/>
  <c r="R33" i="2" s="1"/>
  <c r="P84" i="2"/>
  <c r="Q84" i="2" s="1"/>
  <c r="R84" i="2" s="1"/>
  <c r="P54" i="2"/>
  <c r="Q54" i="2" s="1"/>
  <c r="R54" i="2" s="1"/>
  <c r="P58" i="2"/>
  <c r="Q58" i="2" s="1"/>
  <c r="R58" i="2" s="1"/>
  <c r="P112" i="2"/>
  <c r="Q112" i="2" s="1"/>
  <c r="R112" i="2" s="1"/>
  <c r="P153" i="2"/>
  <c r="Q153" i="2" s="1"/>
  <c r="R153" i="2" s="1"/>
  <c r="P34" i="2"/>
  <c r="Q34" i="2" s="1"/>
  <c r="R34" i="2" s="1"/>
  <c r="P24" i="2"/>
  <c r="Q24" i="2" s="1"/>
  <c r="R24" i="2" s="1"/>
  <c r="P102" i="2"/>
  <c r="Q102" i="2" s="1"/>
  <c r="R102" i="2" s="1"/>
  <c r="P127" i="2"/>
  <c r="Q127" i="2" s="1"/>
  <c r="R127" i="2" s="1"/>
  <c r="P128" i="2"/>
  <c r="Q128" i="2" s="1"/>
  <c r="R128" i="2" s="1"/>
  <c r="P27" i="2"/>
  <c r="Q27" i="2" s="1"/>
  <c r="R27" i="2" s="1"/>
  <c r="P121" i="2"/>
  <c r="Q121" i="2" s="1"/>
  <c r="R121" i="2" s="1"/>
  <c r="P137" i="2"/>
  <c r="Q137" i="2" s="1"/>
  <c r="R137" i="2" s="1"/>
  <c r="P98" i="2"/>
  <c r="Q98" i="2" s="1"/>
  <c r="R98" i="2" s="1"/>
  <c r="P114" i="2"/>
  <c r="Q114" i="2" s="1"/>
  <c r="R114" i="2" s="1"/>
  <c r="P80" i="2"/>
  <c r="Q80" i="2" s="1"/>
  <c r="R80" i="2" s="1"/>
  <c r="P141" i="2"/>
  <c r="Q141" i="2" s="1"/>
  <c r="R141" i="2" s="1"/>
  <c r="P74" i="2"/>
  <c r="Q74" i="2" s="1"/>
  <c r="R74" i="2" s="1"/>
  <c r="P105" i="2"/>
  <c r="Q105" i="2" s="1"/>
  <c r="R105" i="2" s="1"/>
  <c r="P146" i="2"/>
  <c r="Q146" i="2" s="1"/>
  <c r="R146" i="2" s="1"/>
  <c r="E45" i="1"/>
  <c r="D44" i="1" s="1"/>
  <c r="E35" i="1"/>
  <c r="D29" i="1"/>
  <c r="G26" i="1"/>
  <c r="D33" i="1"/>
  <c r="E41" i="1"/>
  <c r="D40" i="1" s="1"/>
  <c r="D39" i="1"/>
  <c r="R3" i="2" l="1"/>
  <c r="P3" i="2" s="1"/>
  <c r="F54" i="1"/>
  <c r="D34" i="1"/>
  <c r="E49" i="1"/>
  <c r="D47" i="1"/>
  <c r="G3" i="2" l="1"/>
  <c r="F63" i="6" s="1"/>
  <c r="C3" i="2"/>
  <c r="F60" i="6" s="1"/>
  <c r="F3" i="2"/>
  <c r="F62" i="6" s="1"/>
  <c r="E3" i="2"/>
  <c r="F61" i="6" s="1"/>
  <c r="D3" i="2"/>
  <c r="F55" i="1"/>
  <c r="L153" i="2" s="1"/>
  <c r="M153" i="2" s="1"/>
  <c r="N153" i="2" s="1"/>
  <c r="D48" i="1"/>
  <c r="L151" i="2" l="1"/>
  <c r="M151" i="2" s="1"/>
  <c r="N151" i="2" s="1"/>
  <c r="L152" i="2"/>
  <c r="M152" i="2" s="1"/>
  <c r="N152" i="2" s="1"/>
  <c r="L154" i="2"/>
  <c r="M154" i="2" s="1"/>
  <c r="N154" i="2" s="1"/>
  <c r="L77" i="2"/>
  <c r="M77" i="2" s="1"/>
  <c r="N77" i="2" s="1"/>
  <c r="L69" i="2"/>
  <c r="M69" i="2" s="1"/>
  <c r="N69" i="2" s="1"/>
  <c r="L104" i="2"/>
  <c r="M104" i="2" s="1"/>
  <c r="N104" i="2" s="1"/>
  <c r="L64" i="2"/>
  <c r="M64" i="2" s="1"/>
  <c r="N64" i="2" s="1"/>
  <c r="L51" i="2"/>
  <c r="M51" i="2" s="1"/>
  <c r="N51" i="2" s="1"/>
  <c r="L134" i="2"/>
  <c r="M134" i="2" s="1"/>
  <c r="N134" i="2" s="1"/>
  <c r="L32" i="2"/>
  <c r="M32" i="2" s="1"/>
  <c r="N32" i="2" s="1"/>
  <c r="L135" i="2"/>
  <c r="M135" i="2" s="1"/>
  <c r="N135" i="2" s="1"/>
  <c r="L121" i="2"/>
  <c r="M121" i="2" s="1"/>
  <c r="N121" i="2" s="1"/>
  <c r="L133" i="2"/>
  <c r="M133" i="2" s="1"/>
  <c r="N133" i="2" s="1"/>
  <c r="L116" i="2"/>
  <c r="M116" i="2" s="1"/>
  <c r="N116" i="2" s="1"/>
  <c r="L120" i="2"/>
  <c r="M120" i="2" s="1"/>
  <c r="N120" i="2" s="1"/>
  <c r="L109" i="2"/>
  <c r="M109" i="2" s="1"/>
  <c r="N109" i="2" s="1"/>
  <c r="L148" i="2"/>
  <c r="M148" i="2" s="1"/>
  <c r="N148" i="2" s="1"/>
  <c r="L94" i="2"/>
  <c r="M94" i="2" s="1"/>
  <c r="N94" i="2" s="1"/>
  <c r="L93" i="2"/>
  <c r="M93" i="2" s="1"/>
  <c r="N93" i="2" s="1"/>
  <c r="L53" i="2"/>
  <c r="M53" i="2" s="1"/>
  <c r="N53" i="2" s="1"/>
  <c r="L26" i="2"/>
  <c r="M26" i="2" s="1"/>
  <c r="N26" i="2" s="1"/>
  <c r="L59" i="2"/>
  <c r="M59" i="2" s="1"/>
  <c r="N59" i="2" s="1"/>
  <c r="L126" i="2"/>
  <c r="M126" i="2" s="1"/>
  <c r="N126" i="2" s="1"/>
  <c r="L138" i="2"/>
  <c r="M138" i="2" s="1"/>
  <c r="N138" i="2" s="1"/>
  <c r="L36" i="2"/>
  <c r="M36" i="2" s="1"/>
  <c r="N36" i="2" s="1"/>
  <c r="L143" i="2"/>
  <c r="M143" i="2" s="1"/>
  <c r="N143" i="2" s="1"/>
  <c r="L89" i="2"/>
  <c r="M89" i="2" s="1"/>
  <c r="N89" i="2" s="1"/>
  <c r="L49" i="2"/>
  <c r="M49" i="2" s="1"/>
  <c r="N49" i="2" s="1"/>
  <c r="L102" i="2"/>
  <c r="M102" i="2" s="1"/>
  <c r="N102" i="2" s="1"/>
  <c r="L149" i="2"/>
  <c r="M149" i="2" s="1"/>
  <c r="N149" i="2" s="1"/>
  <c r="L44" i="2"/>
  <c r="M44" i="2" s="1"/>
  <c r="N44" i="2" s="1"/>
  <c r="L119" i="2"/>
  <c r="M119" i="2" s="1"/>
  <c r="N119" i="2" s="1"/>
  <c r="L76" i="2"/>
  <c r="M76" i="2" s="1"/>
  <c r="N76" i="2" s="1"/>
  <c r="L123" i="2"/>
  <c r="M123" i="2" s="1"/>
  <c r="N123" i="2" s="1"/>
  <c r="L137" i="2"/>
  <c r="M137" i="2" s="1"/>
  <c r="N137" i="2" s="1"/>
  <c r="L47" i="2"/>
  <c r="M47" i="2" s="1"/>
  <c r="N47" i="2" s="1"/>
  <c r="L60" i="2"/>
  <c r="M60" i="2" s="1"/>
  <c r="N60" i="2" s="1"/>
  <c r="L145" i="2"/>
  <c r="M145" i="2" s="1"/>
  <c r="N145" i="2" s="1"/>
  <c r="L68" i="2"/>
  <c r="M68" i="2" s="1"/>
  <c r="N68" i="2" s="1"/>
  <c r="L90" i="2"/>
  <c r="M90" i="2" s="1"/>
  <c r="N90" i="2" s="1"/>
  <c r="L144" i="2"/>
  <c r="M144" i="2" s="1"/>
  <c r="N144" i="2" s="1"/>
  <c r="L63" i="2"/>
  <c r="M63" i="2" s="1"/>
  <c r="N63" i="2" s="1"/>
  <c r="L88" i="2"/>
  <c r="M88" i="2" s="1"/>
  <c r="N88" i="2" s="1"/>
  <c r="L124" i="2"/>
  <c r="M124" i="2" s="1"/>
  <c r="N124" i="2" s="1"/>
  <c r="L73" i="2"/>
  <c r="M73" i="2" s="1"/>
  <c r="N73" i="2" s="1"/>
  <c r="L42" i="2"/>
  <c r="M42" i="2" s="1"/>
  <c r="N42" i="2" s="1"/>
  <c r="L141" i="2"/>
  <c r="M141" i="2" s="1"/>
  <c r="N141" i="2" s="1"/>
  <c r="L103" i="2"/>
  <c r="M103" i="2" s="1"/>
  <c r="N103" i="2" s="1"/>
  <c r="L122" i="2"/>
  <c r="M122" i="2" s="1"/>
  <c r="N122" i="2" s="1"/>
  <c r="L30" i="2"/>
  <c r="M30" i="2" s="1"/>
  <c r="N30" i="2" s="1"/>
  <c r="L117" i="2"/>
  <c r="M117" i="2" s="1"/>
  <c r="N117" i="2" s="1"/>
  <c r="L71" i="2"/>
  <c r="M71" i="2" s="1"/>
  <c r="N71" i="2" s="1"/>
  <c r="L35" i="2"/>
  <c r="M35" i="2" s="1"/>
  <c r="N35" i="2" s="1"/>
  <c r="L97" i="2"/>
  <c r="M97" i="2" s="1"/>
  <c r="N97" i="2" s="1"/>
  <c r="L70" i="2"/>
  <c r="M70" i="2" s="1"/>
  <c r="N70" i="2" s="1"/>
  <c r="L129" i="2"/>
  <c r="M129" i="2" s="1"/>
  <c r="N129" i="2" s="1"/>
  <c r="L82" i="2"/>
  <c r="M82" i="2" s="1"/>
  <c r="N82" i="2" s="1"/>
  <c r="L146" i="2"/>
  <c r="M146" i="2" s="1"/>
  <c r="N146" i="2" s="1"/>
  <c r="L107" i="2"/>
  <c r="M107" i="2" s="1"/>
  <c r="N107" i="2" s="1"/>
  <c r="L85" i="2"/>
  <c r="M85" i="2" s="1"/>
  <c r="N85" i="2" s="1"/>
  <c r="L114" i="2"/>
  <c r="M114" i="2" s="1"/>
  <c r="N114" i="2" s="1"/>
  <c r="L101" i="2"/>
  <c r="M101" i="2" s="1"/>
  <c r="N101" i="2" s="1"/>
  <c r="L43" i="2"/>
  <c r="M43" i="2" s="1"/>
  <c r="N43" i="2" s="1"/>
  <c r="L136" i="2"/>
  <c r="M136" i="2" s="1"/>
  <c r="N136" i="2" s="1"/>
  <c r="L115" i="2"/>
  <c r="M115" i="2" s="1"/>
  <c r="N115" i="2" s="1"/>
  <c r="L130" i="2"/>
  <c r="M130" i="2" s="1"/>
  <c r="N130" i="2" s="1"/>
  <c r="L48" i="2"/>
  <c r="M48" i="2" s="1"/>
  <c r="N48" i="2" s="1"/>
  <c r="L54" i="2"/>
  <c r="M54" i="2" s="1"/>
  <c r="N54" i="2" s="1"/>
  <c r="L65" i="2"/>
  <c r="M65" i="2" s="1"/>
  <c r="N65" i="2" s="1"/>
  <c r="L23" i="2"/>
  <c r="M23" i="2" s="1"/>
  <c r="N23" i="2" s="1"/>
  <c r="L31" i="2"/>
  <c r="M31" i="2" s="1"/>
  <c r="N31" i="2" s="1"/>
  <c r="L80" i="2"/>
  <c r="M80" i="2" s="1"/>
  <c r="N80" i="2" s="1"/>
  <c r="L128" i="2"/>
  <c r="M128" i="2" s="1"/>
  <c r="N128" i="2" s="1"/>
  <c r="L84" i="2"/>
  <c r="M84" i="2" s="1"/>
  <c r="N84" i="2" s="1"/>
  <c r="L78" i="2"/>
  <c r="M78" i="2" s="1"/>
  <c r="N78" i="2" s="1"/>
  <c r="L98" i="2"/>
  <c r="M98" i="2" s="1"/>
  <c r="N98" i="2" s="1"/>
  <c r="L86" i="2"/>
  <c r="M86" i="2" s="1"/>
  <c r="N86" i="2" s="1"/>
  <c r="L40" i="2"/>
  <c r="M40" i="2" s="1"/>
  <c r="N40" i="2" s="1"/>
  <c r="L27" i="2"/>
  <c r="M27" i="2" s="1"/>
  <c r="N27" i="2" s="1"/>
  <c r="L99" i="2"/>
  <c r="M99" i="2" s="1"/>
  <c r="N99" i="2" s="1"/>
  <c r="L75" i="2"/>
  <c r="M75" i="2" s="1"/>
  <c r="N75" i="2" s="1"/>
  <c r="L56" i="2"/>
  <c r="M56" i="2" s="1"/>
  <c r="N56" i="2" s="1"/>
  <c r="L111" i="2"/>
  <c r="M111" i="2" s="1"/>
  <c r="N111" i="2" s="1"/>
  <c r="L113" i="2"/>
  <c r="M113" i="2" s="1"/>
  <c r="N113" i="2" s="1"/>
  <c r="L106" i="2"/>
  <c r="M106" i="2" s="1"/>
  <c r="N106" i="2" s="1"/>
  <c r="L41" i="2"/>
  <c r="M41" i="2" s="1"/>
  <c r="N41" i="2" s="1"/>
  <c r="L45" i="2"/>
  <c r="M45" i="2" s="1"/>
  <c r="N45" i="2" s="1"/>
  <c r="L112" i="2"/>
  <c r="M112" i="2" s="1"/>
  <c r="N112" i="2" s="1"/>
  <c r="L25" i="2"/>
  <c r="M25" i="2" s="1"/>
  <c r="N25" i="2" s="1"/>
  <c r="L39" i="2"/>
  <c r="M39" i="2" s="1"/>
  <c r="N39" i="2" s="1"/>
  <c r="L125" i="2"/>
  <c r="M125" i="2" s="1"/>
  <c r="N125" i="2" s="1"/>
  <c r="L105" i="2"/>
  <c r="M105" i="2" s="1"/>
  <c r="N105" i="2" s="1"/>
  <c r="L100" i="2"/>
  <c r="M100" i="2" s="1"/>
  <c r="N100" i="2" s="1"/>
  <c r="L22" i="2"/>
  <c r="M22" i="2" s="1"/>
  <c r="N22" i="2" s="1"/>
  <c r="L74" i="2"/>
  <c r="M74" i="2" s="1"/>
  <c r="N74" i="2" s="1"/>
  <c r="L81" i="2"/>
  <c r="M81" i="2" s="1"/>
  <c r="N81" i="2" s="1"/>
  <c r="L29" i="2"/>
  <c r="M29" i="2" s="1"/>
  <c r="N29" i="2" s="1"/>
  <c r="L34" i="2"/>
  <c r="M34" i="2" s="1"/>
  <c r="N34" i="2" s="1"/>
  <c r="L57" i="2"/>
  <c r="M57" i="2" s="1"/>
  <c r="N57" i="2" s="1"/>
  <c r="L33" i="2"/>
  <c r="M33" i="2" s="1"/>
  <c r="N33" i="2" s="1"/>
  <c r="L96" i="2"/>
  <c r="M96" i="2" s="1"/>
  <c r="N96" i="2" s="1"/>
  <c r="L83" i="2"/>
  <c r="M83" i="2" s="1"/>
  <c r="N83" i="2" s="1"/>
  <c r="L92" i="2"/>
  <c r="M92" i="2" s="1"/>
  <c r="N92" i="2" s="1"/>
  <c r="L46" i="2"/>
  <c r="M46" i="2" s="1"/>
  <c r="N46" i="2" s="1"/>
  <c r="L58" i="2"/>
  <c r="M58" i="2" s="1"/>
  <c r="N58" i="2" s="1"/>
  <c r="L67" i="2"/>
  <c r="M67" i="2" s="1"/>
  <c r="N67" i="2" s="1"/>
  <c r="L95" i="2"/>
  <c r="M95" i="2" s="1"/>
  <c r="N95" i="2" s="1"/>
  <c r="L24" i="2"/>
  <c r="M24" i="2" s="1"/>
  <c r="N24" i="2" s="1"/>
  <c r="L108" i="2"/>
  <c r="M108" i="2" s="1"/>
  <c r="N108" i="2" s="1"/>
  <c r="L37" i="2"/>
  <c r="M37" i="2" s="1"/>
  <c r="N37" i="2" s="1"/>
  <c r="L72" i="2"/>
  <c r="M72" i="2" s="1"/>
  <c r="N72" i="2" s="1"/>
  <c r="L66" i="2"/>
  <c r="M66" i="2" s="1"/>
  <c r="N66" i="2" s="1"/>
  <c r="L55" i="2"/>
  <c r="M55" i="2" s="1"/>
  <c r="N55" i="2" s="1"/>
  <c r="L52" i="2"/>
  <c r="M52" i="2" s="1"/>
  <c r="N52" i="2" s="1"/>
  <c r="L38" i="2"/>
  <c r="M38" i="2" s="1"/>
  <c r="N38" i="2" s="1"/>
  <c r="L139" i="2"/>
  <c r="M139" i="2" s="1"/>
  <c r="N139" i="2" s="1"/>
  <c r="L110" i="2"/>
  <c r="M110" i="2" s="1"/>
  <c r="N110" i="2" s="1"/>
  <c r="L140" i="2"/>
  <c r="M140" i="2" s="1"/>
  <c r="N140" i="2" s="1"/>
  <c r="L131" i="2"/>
  <c r="M131" i="2" s="1"/>
  <c r="N131" i="2" s="1"/>
  <c r="L87" i="2"/>
  <c r="M87" i="2" s="1"/>
  <c r="N87" i="2" s="1"/>
  <c r="L21" i="2"/>
  <c r="M21" i="2" s="1"/>
  <c r="N21" i="2" s="1"/>
  <c r="L61" i="2"/>
  <c r="M61" i="2" s="1"/>
  <c r="N61" i="2" s="1"/>
  <c r="L147" i="2"/>
  <c r="M147" i="2" s="1"/>
  <c r="N147" i="2" s="1"/>
  <c r="L91" i="2"/>
  <c r="M91" i="2" s="1"/>
  <c r="N91" i="2" s="1"/>
  <c r="L127" i="2"/>
  <c r="M127" i="2" s="1"/>
  <c r="N127" i="2" s="1"/>
  <c r="L28" i="2"/>
  <c r="M28" i="2" s="1"/>
  <c r="N28" i="2" s="1"/>
  <c r="L132" i="2"/>
  <c r="M132" i="2" s="1"/>
  <c r="N132" i="2" s="1"/>
  <c r="L150" i="2"/>
  <c r="M150" i="2" s="1"/>
  <c r="N150" i="2" s="1"/>
  <c r="L62" i="2"/>
  <c r="M62" i="2" s="1"/>
  <c r="N62" i="2" s="1"/>
  <c r="L50" i="2"/>
  <c r="M50" i="2" s="1"/>
  <c r="N50" i="2" s="1"/>
  <c r="L142" i="2"/>
  <c r="M142" i="2" s="1"/>
  <c r="N142" i="2" s="1"/>
  <c r="L79" i="2"/>
  <c r="M79" i="2" s="1"/>
  <c r="N79" i="2" s="1"/>
  <c r="L118" i="2"/>
  <c r="M118" i="2" s="1"/>
  <c r="N118" i="2" s="1"/>
  <c r="N4" i="2" l="1"/>
  <c r="L4" i="2" s="1"/>
  <c r="E4" i="2" l="1"/>
  <c r="F64" i="1" s="1"/>
  <c r="G4" i="2" l="1"/>
  <c r="D4" i="2"/>
  <c r="C4" i="2"/>
  <c r="F63" i="1" s="1"/>
  <c r="F4" i="2"/>
  <c r="F65" i="1" s="1"/>
  <c r="F6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0256</author>
  </authors>
  <commentList>
    <comment ref="I3" authorId="0" shapeId="0" xr:uid="{00000000-0006-0000-0300-000001000000}">
      <text>
        <r>
          <rPr>
            <b/>
            <sz val="9"/>
            <color indexed="81"/>
            <rFont val="ＭＳ Ｐゴシック"/>
            <family val="3"/>
            <charset val="128"/>
          </rPr>
          <t>HGS-E型
GS2-(A)E型
AGS-E型</t>
        </r>
      </text>
    </comment>
    <comment ref="I5" authorId="0" shapeId="0" xr:uid="{00000000-0006-0000-0300-000002000000}">
      <text>
        <r>
          <rPr>
            <b/>
            <sz val="9"/>
            <color indexed="81"/>
            <rFont val="ＭＳ Ｐゴシック"/>
            <family val="3"/>
            <charset val="128"/>
          </rPr>
          <t>HGS-PL型
AGS-PL型
GF_-PL型</t>
        </r>
      </text>
    </comment>
    <comment ref="I6" authorId="0" shapeId="0" xr:uid="{00000000-0006-0000-0300-000003000000}">
      <text>
        <r>
          <rPr>
            <b/>
            <sz val="9"/>
            <color indexed="81"/>
            <rFont val="ＭＳ Ｐゴシック"/>
            <family val="3"/>
            <charset val="128"/>
          </rPr>
          <t>GF3-SL型
GF3-SLA型
GF3-SLK型</t>
        </r>
      </text>
    </comment>
    <comment ref="I8" authorId="0" shapeId="0" xr:uid="{00000000-0006-0000-0300-000004000000}">
      <text>
        <r>
          <rPr>
            <b/>
            <sz val="9"/>
            <color indexed="81"/>
            <rFont val="ＭＳ Ｐゴシック"/>
            <family val="3"/>
            <charset val="128"/>
          </rPr>
          <t>GS_-H
HGS-H
GF_-F/K/G</t>
        </r>
      </text>
    </comment>
    <comment ref="G9" authorId="0" shapeId="0" xr:uid="{00000000-0006-0000-0300-000005000000}">
      <text>
        <r>
          <rPr>
            <b/>
            <sz val="9"/>
            <color indexed="81"/>
            <rFont val="ＭＳ Ｐゴシック"/>
            <family val="3"/>
            <charset val="128"/>
          </rPr>
          <t>ジャンボ丸型</t>
        </r>
        <r>
          <rPr>
            <sz val="9"/>
            <color indexed="81"/>
            <rFont val="ＭＳ Ｐゴシック"/>
            <family val="3"/>
            <charset val="128"/>
          </rPr>
          <t xml:space="preserve">
</t>
        </r>
      </text>
    </comment>
    <comment ref="I9" authorId="0" shapeId="0" xr:uid="{00000000-0006-0000-0300-000006000000}">
      <text>
        <r>
          <rPr>
            <b/>
            <sz val="9"/>
            <color indexed="81"/>
            <rFont val="ＭＳ Ｐゴシック"/>
            <family val="3"/>
            <charset val="128"/>
          </rPr>
          <t>GS3-F型</t>
        </r>
      </text>
    </comment>
    <comment ref="I10" authorId="0" shapeId="0" xr:uid="{00000000-0006-0000-0300-000007000000}">
      <text>
        <r>
          <rPr>
            <b/>
            <sz val="9"/>
            <color indexed="81"/>
            <rFont val="ＭＳ Ｐゴシック"/>
            <family val="3"/>
            <charset val="128"/>
          </rPr>
          <t>SINK-23F</t>
        </r>
        <r>
          <rPr>
            <sz val="9"/>
            <color indexed="81"/>
            <rFont val="ＭＳ Ｐゴシック"/>
            <family val="3"/>
            <charset val="128"/>
          </rPr>
          <t xml:space="preserve">
</t>
        </r>
      </text>
    </comment>
    <comment ref="I11" authorId="0" shapeId="0" xr:uid="{00000000-0006-0000-0300-000008000000}">
      <text>
        <r>
          <rPr>
            <b/>
            <sz val="9"/>
            <color indexed="81"/>
            <rFont val="ＭＳ Ｐゴシック"/>
            <family val="3"/>
            <charset val="128"/>
          </rPr>
          <t>GSU-F型
GFR-30F</t>
        </r>
      </text>
    </comment>
    <comment ref="I12" authorId="0" shapeId="0" xr:uid="{00000000-0006-0000-0300-000009000000}">
      <text>
        <r>
          <rPr>
            <b/>
            <sz val="9"/>
            <color indexed="81"/>
            <rFont val="ＭＳ Ｐゴシック"/>
            <family val="3"/>
            <charset val="128"/>
          </rPr>
          <t>GSU-JE/EA型
GSU-JP/PA型
GFRA-JE/EA型
GFR-JP/PA型
GFRA-V JE/EA型</t>
        </r>
      </text>
    </comment>
    <comment ref="I13" authorId="0" shapeId="0" xr:uid="{00000000-0006-0000-0300-00000A000000}">
      <text>
        <r>
          <rPr>
            <b/>
            <sz val="9"/>
            <color indexed="81"/>
            <rFont val="ＭＳ Ｐゴシック"/>
            <family val="3"/>
            <charset val="128"/>
          </rPr>
          <t>GSU-JEU/EAU型
GSU-JPU/PAU型
GFR-JEU/EAU型
GFR-JPU/PAU型</t>
        </r>
        <r>
          <rPr>
            <sz val="9"/>
            <color indexed="81"/>
            <rFont val="ＭＳ Ｐゴシック"/>
            <family val="3"/>
            <charset val="128"/>
          </rPr>
          <t xml:space="preserve">
</t>
        </r>
      </text>
    </comment>
    <comment ref="I14" authorId="0" shapeId="0" xr:uid="{00000000-0006-0000-0300-00000B000000}">
      <text>
        <r>
          <rPr>
            <b/>
            <sz val="9"/>
            <color indexed="81"/>
            <rFont val="ＭＳ Ｐゴシック"/>
            <family val="3"/>
            <charset val="128"/>
          </rPr>
          <t>GSU-SLA型</t>
        </r>
        <r>
          <rPr>
            <sz val="9"/>
            <color indexed="81"/>
            <rFont val="ＭＳ Ｐゴシック"/>
            <family val="3"/>
            <charset val="128"/>
          </rPr>
          <t xml:space="preserve">
</t>
        </r>
      </text>
    </comment>
    <comment ref="I15" authorId="0" shapeId="0" xr:uid="{00000000-0006-0000-0300-00000C000000}">
      <text>
        <r>
          <rPr>
            <b/>
            <sz val="9"/>
            <color indexed="81"/>
            <rFont val="ＭＳ Ｐゴシック"/>
            <family val="3"/>
            <charset val="128"/>
          </rPr>
          <t>LW-EG/PG型</t>
        </r>
        <r>
          <rPr>
            <sz val="9"/>
            <color indexed="81"/>
            <rFont val="ＭＳ Ｐゴシック"/>
            <family val="3"/>
            <charset val="128"/>
          </rPr>
          <t xml:space="preserve">
</t>
        </r>
      </text>
    </comment>
  </commentList>
</comments>
</file>

<file path=xl/sharedStrings.xml><?xml version="1.0" encoding="utf-8"?>
<sst xmlns="http://schemas.openxmlformats.org/spreadsheetml/2006/main" count="794" uniqueCount="497">
  <si>
    <t>Q</t>
    <phoneticPr fontId="2"/>
  </si>
  <si>
    <t>A</t>
    <phoneticPr fontId="2"/>
  </si>
  <si>
    <t>n</t>
    <phoneticPr fontId="2"/>
  </si>
  <si>
    <t>t</t>
    <phoneticPr fontId="2"/>
  </si>
  <si>
    <t>k</t>
    <phoneticPr fontId="2"/>
  </si>
  <si>
    <t>G</t>
    <phoneticPr fontId="2"/>
  </si>
  <si>
    <t>ファーストフード</t>
    <phoneticPr fontId="2"/>
  </si>
  <si>
    <r>
      <t>店舗全面積1m</t>
    </r>
    <r>
      <rPr>
        <vertAlign val="superscript"/>
        <sz val="11"/>
        <rFont val="ＭＳ Ｐゴシック"/>
        <family val="3"/>
        <charset val="128"/>
      </rPr>
      <t>2</t>
    </r>
    <r>
      <rPr>
        <sz val="11"/>
        <rFont val="ＭＳ Ｐゴシック"/>
        <family val="3"/>
        <charset val="128"/>
      </rPr>
      <t>・1日あたりの使用水量</t>
    </r>
    <rPh sb="0" eb="2">
      <t>テンポ</t>
    </rPh>
    <rPh sb="2" eb="3">
      <t>ゼン</t>
    </rPh>
    <rPh sb="3" eb="5">
      <t>メンセキ</t>
    </rPh>
    <rPh sb="10" eb="11">
      <t>ヒ</t>
    </rPh>
    <rPh sb="15" eb="17">
      <t>シヨウ</t>
    </rPh>
    <rPh sb="17" eb="19">
      <t>スイリョウ</t>
    </rPh>
    <phoneticPr fontId="2"/>
  </si>
  <si>
    <t>危険率を用いて定めたときの流量の平均流量に対する倍率</t>
    <rPh sb="0" eb="3">
      <t>キケンリツ</t>
    </rPh>
    <rPh sb="4" eb="5">
      <t>モチ</t>
    </rPh>
    <rPh sb="7" eb="8">
      <t>サダ</t>
    </rPh>
    <rPh sb="13" eb="15">
      <t>リュウリョウ</t>
    </rPh>
    <rPh sb="16" eb="18">
      <t>ヘイキン</t>
    </rPh>
    <rPh sb="18" eb="20">
      <t>リュウリョウ</t>
    </rPh>
    <rPh sb="21" eb="22">
      <t>タイ</t>
    </rPh>
    <rPh sb="24" eb="26">
      <t>バイリツ</t>
    </rPh>
    <phoneticPr fontId="2"/>
  </si>
  <si>
    <r>
      <t>1m</t>
    </r>
    <r>
      <rPr>
        <vertAlign val="superscript"/>
        <sz val="11"/>
        <rFont val="ＭＳ Ｐゴシック"/>
        <family val="3"/>
        <charset val="128"/>
      </rPr>
      <t>2</t>
    </r>
    <r>
      <rPr>
        <sz val="11"/>
        <rFont val="ＭＳ Ｐゴシック"/>
        <family val="3"/>
        <charset val="128"/>
      </rPr>
      <t>・1日あたりの阻集グリースの質量</t>
    </r>
    <rPh sb="5" eb="6">
      <t>ヒ</t>
    </rPh>
    <rPh sb="10" eb="12">
      <t>ソシュウ</t>
    </rPh>
    <rPh sb="17" eb="19">
      <t>シツリョウ</t>
    </rPh>
    <phoneticPr fontId="2"/>
  </si>
  <si>
    <r>
      <t>1m</t>
    </r>
    <r>
      <rPr>
        <vertAlign val="superscript"/>
        <sz val="11"/>
        <rFont val="ＭＳ Ｐゴシック"/>
        <family val="3"/>
        <charset val="128"/>
      </rPr>
      <t>2</t>
    </r>
    <r>
      <rPr>
        <sz val="11"/>
        <rFont val="ＭＳ Ｐゴシック"/>
        <family val="3"/>
        <charset val="128"/>
      </rPr>
      <t>・1日あたりの堆積残渣の質量</t>
    </r>
    <rPh sb="5" eb="6">
      <t>ヒ</t>
    </rPh>
    <rPh sb="10" eb="12">
      <t>タイセキ</t>
    </rPh>
    <rPh sb="12" eb="13">
      <t>ザン</t>
    </rPh>
    <rPh sb="15" eb="17">
      <t>シツリョウ</t>
    </rPh>
    <phoneticPr fontId="2"/>
  </si>
  <si>
    <t>厨房を含む店舗全面積</t>
    <rPh sb="0" eb="2">
      <t>チュウボウ</t>
    </rPh>
    <rPh sb="3" eb="4">
      <t>フク</t>
    </rPh>
    <rPh sb="5" eb="7">
      <t>テンポ</t>
    </rPh>
    <rPh sb="7" eb="10">
      <t>ゼンメンセキ</t>
    </rPh>
    <phoneticPr fontId="2"/>
  </si>
  <si>
    <t>No.</t>
    <phoneticPr fontId="2"/>
  </si>
  <si>
    <t>n</t>
  </si>
  <si>
    <t>食種</t>
    <phoneticPr fontId="2"/>
  </si>
  <si>
    <r>
      <t>W</t>
    </r>
    <r>
      <rPr>
        <vertAlign val="subscript"/>
        <sz val="11"/>
        <rFont val="ＭＳ Ｐゴシック"/>
        <family val="3"/>
        <charset val="128"/>
      </rPr>
      <t>m</t>
    </r>
    <phoneticPr fontId="2"/>
  </si>
  <si>
    <r>
      <t>g</t>
    </r>
    <r>
      <rPr>
        <vertAlign val="subscript"/>
        <sz val="11"/>
        <rFont val="ＭＳ Ｐゴシック"/>
        <family val="3"/>
        <charset val="128"/>
      </rPr>
      <t>u</t>
    </r>
    <phoneticPr fontId="2"/>
  </si>
  <si>
    <r>
      <t>g</t>
    </r>
    <r>
      <rPr>
        <vertAlign val="subscript"/>
        <sz val="11"/>
        <rFont val="ＭＳ Ｐゴシック"/>
        <family val="3"/>
        <charset val="128"/>
      </rPr>
      <t>b</t>
    </r>
    <phoneticPr fontId="2"/>
  </si>
  <si>
    <r>
      <t>i</t>
    </r>
    <r>
      <rPr>
        <vertAlign val="subscript"/>
        <sz val="11"/>
        <rFont val="ＭＳ Ｐゴシック"/>
        <family val="3"/>
        <charset val="128"/>
      </rPr>
      <t>u</t>
    </r>
    <phoneticPr fontId="2"/>
  </si>
  <si>
    <r>
      <t>i</t>
    </r>
    <r>
      <rPr>
        <vertAlign val="subscript"/>
        <sz val="11"/>
        <rFont val="ＭＳ Ｐゴシック"/>
        <family val="3"/>
        <charset val="128"/>
      </rPr>
      <t>b</t>
    </r>
    <phoneticPr fontId="2"/>
  </si>
  <si>
    <r>
      <t>n</t>
    </r>
    <r>
      <rPr>
        <vertAlign val="subscript"/>
        <sz val="11"/>
        <rFont val="ＭＳ Ｐゴシック"/>
        <family val="3"/>
        <charset val="128"/>
      </rPr>
      <t>0</t>
    </r>
    <phoneticPr fontId="2"/>
  </si>
  <si>
    <t>記号</t>
    <rPh sb="0" eb="2">
      <t>キゴウ</t>
    </rPh>
    <phoneticPr fontId="2"/>
  </si>
  <si>
    <t>要目</t>
    <rPh sb="0" eb="2">
      <t>ヨウモク</t>
    </rPh>
    <phoneticPr fontId="2"/>
  </si>
  <si>
    <t>単位</t>
    <rPh sb="0" eb="2">
      <t>タンイ</t>
    </rPh>
    <phoneticPr fontId="2"/>
  </si>
  <si>
    <t>根拠</t>
    <rPh sb="0" eb="2">
      <t>コンキョ</t>
    </rPh>
    <phoneticPr fontId="2"/>
  </si>
  <si>
    <t>㎡</t>
  </si>
  <si>
    <t>㎡</t>
    <phoneticPr fontId="2"/>
  </si>
  <si>
    <t>L/(㎡･日)</t>
    <rPh sb="5" eb="6">
      <t>ヒ</t>
    </rPh>
    <phoneticPr fontId="2"/>
  </si>
  <si>
    <t>min/日</t>
    <rPh sb="4" eb="5">
      <t>ヒ</t>
    </rPh>
    <phoneticPr fontId="2"/>
  </si>
  <si>
    <t>kg</t>
    <phoneticPr fontId="2"/>
  </si>
  <si>
    <t>倍</t>
    <rPh sb="0" eb="1">
      <t>バイ</t>
    </rPh>
    <phoneticPr fontId="2"/>
  </si>
  <si>
    <t>日</t>
    <rPh sb="0" eb="1">
      <t>ヒ</t>
    </rPh>
    <phoneticPr fontId="2"/>
  </si>
  <si>
    <t>人/(席･日)</t>
    <rPh sb="0" eb="1">
      <t>ニン</t>
    </rPh>
    <rPh sb="3" eb="4">
      <t>セキ</t>
    </rPh>
    <rPh sb="5" eb="6">
      <t>ヒ</t>
    </rPh>
    <phoneticPr fontId="2"/>
  </si>
  <si>
    <t>中国(中華)料理</t>
    <rPh sb="0" eb="2">
      <t>チュウゴク</t>
    </rPh>
    <rPh sb="3" eb="5">
      <t>チュウカ</t>
    </rPh>
    <rPh sb="6" eb="8">
      <t>リョウリ</t>
    </rPh>
    <phoneticPr fontId="2"/>
  </si>
  <si>
    <t>ラーメン</t>
    <phoneticPr fontId="2"/>
  </si>
  <si>
    <t>そば・うどん</t>
    <phoneticPr fontId="2"/>
  </si>
  <si>
    <t>洋食</t>
    <rPh sb="0" eb="1">
      <t>ヨウ</t>
    </rPh>
    <rPh sb="1" eb="2">
      <t>ショク</t>
    </rPh>
    <phoneticPr fontId="2"/>
  </si>
  <si>
    <t>和食</t>
    <rPh sb="0" eb="1">
      <t>ワ</t>
    </rPh>
    <rPh sb="1" eb="2">
      <t>ショク</t>
    </rPh>
    <phoneticPr fontId="2"/>
  </si>
  <si>
    <t>軽食</t>
    <rPh sb="0" eb="1">
      <t>ケイ</t>
    </rPh>
    <rPh sb="1" eb="2">
      <t>ショク</t>
    </rPh>
    <phoneticPr fontId="2"/>
  </si>
  <si>
    <t>喫茶</t>
    <rPh sb="0" eb="1">
      <t>キッ</t>
    </rPh>
    <rPh sb="1" eb="2">
      <t>チャ</t>
    </rPh>
    <phoneticPr fontId="2"/>
  </si>
  <si>
    <t>出典（SHASE-S217-2008）</t>
    <rPh sb="0" eb="2">
      <t>シュッテン</t>
    </rPh>
    <phoneticPr fontId="2"/>
  </si>
  <si>
    <t>表3</t>
    <phoneticPr fontId="2"/>
  </si>
  <si>
    <t>表6</t>
    <phoneticPr fontId="2"/>
  </si>
  <si>
    <t>Wm'</t>
    <phoneticPr fontId="2"/>
  </si>
  <si>
    <t>L/(㎡･日)</t>
    <phoneticPr fontId="2"/>
  </si>
  <si>
    <t>min/日</t>
    <phoneticPr fontId="2"/>
  </si>
  <si>
    <t>倍</t>
    <phoneticPr fontId="2"/>
  </si>
  <si>
    <t>L/人</t>
    <phoneticPr fontId="2"/>
  </si>
  <si>
    <t>解説表5</t>
    <phoneticPr fontId="2"/>
  </si>
  <si>
    <t>席</t>
    <rPh sb="0" eb="1">
      <t>セキ</t>
    </rPh>
    <phoneticPr fontId="2"/>
  </si>
  <si>
    <t>人/日</t>
    <rPh sb="0" eb="1">
      <t>ニン</t>
    </rPh>
    <rPh sb="2" eb="3">
      <t>ヒ</t>
    </rPh>
    <phoneticPr fontId="2"/>
  </si>
  <si>
    <t>X</t>
    <phoneticPr fontId="2"/>
  </si>
  <si>
    <t>Y</t>
    <phoneticPr fontId="2"/>
  </si>
  <si>
    <t>P</t>
    <phoneticPr fontId="2"/>
  </si>
  <si>
    <t>人/(席･日)</t>
    <phoneticPr fontId="2"/>
  </si>
  <si>
    <t>SHASE規格の標準値</t>
    <rPh sb="5" eb="7">
      <t>キカク</t>
    </rPh>
    <rPh sb="8" eb="11">
      <t>ヒョウジュンチ</t>
    </rPh>
    <phoneticPr fontId="2"/>
  </si>
  <si>
    <t>値</t>
    <rPh sb="0" eb="1">
      <t>アタイ</t>
    </rPh>
    <phoneticPr fontId="2"/>
  </si>
  <si>
    <t>1日あたりの厨房使用時間 (※1)</t>
    <rPh sb="1" eb="2">
      <t>ヒ</t>
    </rPh>
    <rPh sb="6" eb="8">
      <t>チュウボウ</t>
    </rPh>
    <rPh sb="8" eb="10">
      <t>シヨウ</t>
    </rPh>
    <rPh sb="10" eb="12">
      <t>ジカン</t>
    </rPh>
    <phoneticPr fontId="2"/>
  </si>
  <si>
    <t>阻集グリースの掃除周期 (※1)</t>
    <rPh sb="0" eb="1">
      <t>ケワ</t>
    </rPh>
    <rPh sb="1" eb="2">
      <t>シュウ</t>
    </rPh>
    <rPh sb="7" eb="9">
      <t>ソウジ</t>
    </rPh>
    <rPh sb="9" eb="11">
      <t>シュウキ</t>
    </rPh>
    <phoneticPr fontId="2"/>
  </si>
  <si>
    <t>堆積残渣の掃除周期 (※1)</t>
    <rPh sb="0" eb="2">
      <t>タイセキ</t>
    </rPh>
    <rPh sb="2" eb="4">
      <t>ザンサ</t>
    </rPh>
    <rPh sb="5" eb="7">
      <t>ソウジ</t>
    </rPh>
    <rPh sb="7" eb="9">
      <t>シュウキ</t>
    </rPh>
    <phoneticPr fontId="2"/>
  </si>
  <si>
    <t>回転数〔1席・1日当たりの利用人数〕 (※1)</t>
    <rPh sb="0" eb="3">
      <t>カイテンスウ</t>
    </rPh>
    <rPh sb="5" eb="6">
      <t>セキ</t>
    </rPh>
    <rPh sb="8" eb="10">
      <t>ヒア</t>
    </rPh>
    <rPh sb="13" eb="15">
      <t>リヨウ</t>
    </rPh>
    <rPh sb="15" eb="17">
      <t>ニンズウ</t>
    </rPh>
    <phoneticPr fontId="2"/>
  </si>
  <si>
    <t>補正回転数 (※2)</t>
    <rPh sb="0" eb="2">
      <t>ホセイ</t>
    </rPh>
    <rPh sb="2" eb="5">
      <t>カイテンスウ</t>
    </rPh>
    <phoneticPr fontId="2"/>
  </si>
  <si>
    <t>①</t>
    <phoneticPr fontId="2"/>
  </si>
  <si>
    <t>②</t>
    <phoneticPr fontId="2"/>
  </si>
  <si>
    <t>流入流量</t>
    <rPh sb="0" eb="2">
      <t>リュウニュウ</t>
    </rPh>
    <rPh sb="2" eb="4">
      <t>リュウリョウ</t>
    </rPh>
    <phoneticPr fontId="2"/>
  </si>
  <si>
    <t>L/min</t>
    <phoneticPr fontId="2"/>
  </si>
  <si>
    <t>③</t>
    <phoneticPr fontId="2"/>
  </si>
  <si>
    <r>
      <t>Q=A･W</t>
    </r>
    <r>
      <rPr>
        <vertAlign val="subscript"/>
        <sz val="11"/>
        <rFont val="ＭＳ Ｐゴシック"/>
        <family val="3"/>
        <charset val="128"/>
      </rPr>
      <t>m</t>
    </r>
    <r>
      <rPr>
        <sz val="11"/>
        <rFont val="ＭＳ Ｐゴシック"/>
        <family val="3"/>
        <charset val="128"/>
      </rPr>
      <t>×(n/n</t>
    </r>
    <r>
      <rPr>
        <vertAlign val="subscript"/>
        <sz val="11"/>
        <rFont val="ＭＳ Ｐゴシック"/>
        <family val="3"/>
        <charset val="128"/>
      </rPr>
      <t>0</t>
    </r>
    <r>
      <rPr>
        <sz val="11"/>
        <rFont val="ＭＳ Ｐゴシック"/>
        <family val="3"/>
        <charset val="128"/>
      </rPr>
      <t>)×(1/t)k</t>
    </r>
    <phoneticPr fontId="2"/>
  </si>
  <si>
    <r>
      <t>G</t>
    </r>
    <r>
      <rPr>
        <vertAlign val="subscript"/>
        <sz val="11"/>
        <rFont val="ＭＳ Ｐゴシック"/>
        <family val="3"/>
        <charset val="128"/>
      </rPr>
      <t>u</t>
    </r>
    <r>
      <rPr>
        <sz val="11"/>
        <rFont val="ＭＳ Ｐゴシック"/>
        <family val="3"/>
        <charset val="128"/>
      </rPr>
      <t>=A･g</t>
    </r>
    <r>
      <rPr>
        <vertAlign val="subscript"/>
        <sz val="11"/>
        <rFont val="ＭＳ Ｐゴシック"/>
        <family val="3"/>
        <charset val="128"/>
      </rPr>
      <t>u</t>
    </r>
    <r>
      <rPr>
        <sz val="11"/>
        <rFont val="ＭＳ Ｐゴシック"/>
        <family val="3"/>
        <charset val="128"/>
      </rPr>
      <t>×(n/n</t>
    </r>
    <r>
      <rPr>
        <vertAlign val="subscript"/>
        <sz val="11"/>
        <rFont val="ＭＳ Ｐゴシック"/>
        <family val="3"/>
        <charset val="128"/>
      </rPr>
      <t>0</t>
    </r>
    <r>
      <rPr>
        <sz val="11"/>
        <rFont val="ＭＳ Ｐゴシック"/>
        <family val="3"/>
        <charset val="128"/>
      </rPr>
      <t>)×i</t>
    </r>
    <r>
      <rPr>
        <vertAlign val="subscript"/>
        <sz val="11"/>
        <rFont val="ＭＳ Ｐゴシック"/>
        <family val="3"/>
        <charset val="128"/>
      </rPr>
      <t>u</t>
    </r>
    <r>
      <rPr>
        <sz val="11"/>
        <rFont val="ＭＳ Ｐゴシック"/>
        <family val="3"/>
        <charset val="128"/>
      </rPr>
      <t>･C</t>
    </r>
    <r>
      <rPr>
        <vertAlign val="subscript"/>
        <sz val="11"/>
        <rFont val="ＭＳ Ｐゴシック"/>
        <family val="3"/>
        <charset val="128"/>
      </rPr>
      <t>2</t>
    </r>
    <r>
      <rPr>
        <sz val="11"/>
        <rFont val="ＭＳ Ｐゴシック"/>
        <family val="3"/>
        <charset val="128"/>
      </rPr>
      <t xml:space="preserve"> </t>
    </r>
    <phoneticPr fontId="2"/>
  </si>
  <si>
    <t>阻集グリースの質量</t>
    <rPh sb="0" eb="1">
      <t>ケワ</t>
    </rPh>
    <rPh sb="1" eb="2">
      <t>シュウ</t>
    </rPh>
    <rPh sb="7" eb="9">
      <t>シツリョウ</t>
    </rPh>
    <phoneticPr fontId="2"/>
  </si>
  <si>
    <t>㎏</t>
    <phoneticPr fontId="2"/>
  </si>
  <si>
    <r>
      <t>C</t>
    </r>
    <r>
      <rPr>
        <vertAlign val="subscript"/>
        <sz val="11"/>
        <rFont val="ＭＳ Ｐゴシック"/>
        <family val="3"/>
        <charset val="128"/>
      </rPr>
      <t>2</t>
    </r>
    <phoneticPr fontId="2"/>
  </si>
  <si>
    <t>定数</t>
    <rPh sb="0" eb="2">
      <t>テイスウ</t>
    </rPh>
    <phoneticPr fontId="2"/>
  </si>
  <si>
    <r>
      <t>G</t>
    </r>
    <r>
      <rPr>
        <vertAlign val="subscript"/>
        <sz val="11"/>
        <rFont val="ＭＳ Ｐゴシック"/>
        <family val="3"/>
        <charset val="128"/>
      </rPr>
      <t>u</t>
    </r>
    <phoneticPr fontId="2"/>
  </si>
  <si>
    <r>
      <t>G</t>
    </r>
    <r>
      <rPr>
        <vertAlign val="subscript"/>
        <sz val="11"/>
        <rFont val="ＭＳ Ｐゴシック"/>
        <family val="3"/>
        <charset val="128"/>
      </rPr>
      <t>b</t>
    </r>
    <phoneticPr fontId="2"/>
  </si>
  <si>
    <t>堆積残渣の質量</t>
    <rPh sb="0" eb="2">
      <t>タイセキ</t>
    </rPh>
    <rPh sb="2" eb="4">
      <t>ザンサ</t>
    </rPh>
    <rPh sb="5" eb="7">
      <t>シツリョウ</t>
    </rPh>
    <phoneticPr fontId="2"/>
  </si>
  <si>
    <r>
      <t>G</t>
    </r>
    <r>
      <rPr>
        <vertAlign val="subscript"/>
        <sz val="11"/>
        <rFont val="ＭＳ Ｐゴシック"/>
        <family val="3"/>
        <charset val="128"/>
      </rPr>
      <t>b</t>
    </r>
    <r>
      <rPr>
        <sz val="11"/>
        <rFont val="ＭＳ Ｐゴシック"/>
        <family val="3"/>
        <charset val="128"/>
      </rPr>
      <t>=A･g</t>
    </r>
    <r>
      <rPr>
        <vertAlign val="subscript"/>
        <sz val="11"/>
        <rFont val="ＭＳ Ｐゴシック"/>
        <family val="3"/>
        <charset val="128"/>
      </rPr>
      <t>b</t>
    </r>
    <r>
      <rPr>
        <sz val="11"/>
        <rFont val="ＭＳ Ｐゴシック"/>
        <family val="3"/>
        <charset val="128"/>
      </rPr>
      <t>×(n/n</t>
    </r>
    <r>
      <rPr>
        <vertAlign val="subscript"/>
        <sz val="11"/>
        <rFont val="ＭＳ Ｐゴシック"/>
        <family val="3"/>
        <charset val="128"/>
      </rPr>
      <t>0</t>
    </r>
    <r>
      <rPr>
        <sz val="11"/>
        <rFont val="ＭＳ Ｐゴシック"/>
        <family val="3"/>
        <charset val="128"/>
      </rPr>
      <t>)×i</t>
    </r>
    <r>
      <rPr>
        <vertAlign val="subscript"/>
        <sz val="11"/>
        <rFont val="ＭＳ Ｐゴシック"/>
        <family val="3"/>
        <charset val="128"/>
      </rPr>
      <t>b</t>
    </r>
    <r>
      <rPr>
        <sz val="11"/>
        <rFont val="ＭＳ Ｐゴシック"/>
        <family val="3"/>
        <charset val="128"/>
      </rPr>
      <t>･C</t>
    </r>
    <r>
      <rPr>
        <vertAlign val="subscript"/>
        <sz val="11"/>
        <rFont val="ＭＳ Ｐゴシック"/>
        <family val="3"/>
        <charset val="128"/>
      </rPr>
      <t>2</t>
    </r>
    <r>
      <rPr>
        <sz val="11"/>
        <rFont val="ＭＳ Ｐゴシック"/>
        <family val="3"/>
        <charset val="128"/>
      </rPr>
      <t xml:space="preserve"> </t>
    </r>
    <phoneticPr fontId="2"/>
  </si>
  <si>
    <t>kg/g</t>
    <phoneticPr fontId="2"/>
  </si>
  <si>
    <r>
      <t>G=G</t>
    </r>
    <r>
      <rPr>
        <vertAlign val="subscript"/>
        <sz val="11"/>
        <rFont val="ＭＳ Ｐゴシック"/>
        <family val="3"/>
        <charset val="128"/>
      </rPr>
      <t>u</t>
    </r>
    <r>
      <rPr>
        <sz val="11"/>
        <rFont val="ＭＳ Ｐゴシック"/>
        <family val="3"/>
        <charset val="128"/>
      </rPr>
      <t>+G</t>
    </r>
    <r>
      <rPr>
        <vertAlign val="subscript"/>
        <sz val="11"/>
        <rFont val="ＭＳ Ｐゴシック"/>
        <family val="3"/>
        <charset val="128"/>
      </rPr>
      <t>b</t>
    </r>
    <phoneticPr fontId="2"/>
  </si>
  <si>
    <t>④</t>
    <phoneticPr fontId="2"/>
  </si>
  <si>
    <t>このフォーマットの使用方法</t>
    <rPh sb="9" eb="11">
      <t>シヨウ</t>
    </rPh>
    <rPh sb="11" eb="13">
      <t>ホウホウ</t>
    </rPh>
    <phoneticPr fontId="2"/>
  </si>
  <si>
    <t>※</t>
    <phoneticPr fontId="2"/>
  </si>
  <si>
    <t>計算結果</t>
    <phoneticPr fontId="2"/>
  </si>
  <si>
    <t>阻集グリース及び堆積残渣の質量</t>
    <rPh sb="0" eb="1">
      <t>ケワ</t>
    </rPh>
    <rPh sb="1" eb="2">
      <t>シュウ</t>
    </rPh>
    <rPh sb="6" eb="7">
      <t>オヨ</t>
    </rPh>
    <rPh sb="13" eb="15">
      <t>シツリョウ</t>
    </rPh>
    <phoneticPr fontId="2"/>
  </si>
  <si>
    <t>受渡当事者間の打合せ</t>
    <phoneticPr fontId="2"/>
  </si>
  <si>
    <t>g/(㎡･日)</t>
    <rPh sb="5" eb="6">
      <t>ヒ</t>
    </rPh>
    <phoneticPr fontId="2"/>
  </si>
  <si>
    <t>g/(㎡･日)</t>
    <phoneticPr fontId="2"/>
  </si>
  <si>
    <t>流入流量の算出</t>
    <phoneticPr fontId="2"/>
  </si>
  <si>
    <t>阻集グリース及びたい積残さの質量の算出</t>
    <phoneticPr fontId="2"/>
  </si>
  <si>
    <t>グリース阻集器の選定</t>
    <rPh sb="4" eb="5">
      <t>ソ</t>
    </rPh>
    <rPh sb="5" eb="6">
      <t>シュウ</t>
    </rPh>
    <rPh sb="6" eb="7">
      <t>キ</t>
    </rPh>
    <rPh sb="8" eb="10">
      <t>センテイ</t>
    </rPh>
    <phoneticPr fontId="2"/>
  </si>
  <si>
    <t>即ち、</t>
    <rPh sb="0" eb="1">
      <t>スナワ</t>
    </rPh>
    <phoneticPr fontId="2"/>
  </si>
  <si>
    <t>のグリース阻集器を選定する。</t>
    <rPh sb="5" eb="6">
      <t>ソ</t>
    </rPh>
    <rPh sb="6" eb="7">
      <t>シュウ</t>
    </rPh>
    <rPh sb="7" eb="8">
      <t>キ</t>
    </rPh>
    <rPh sb="9" eb="11">
      <t>センテイ</t>
    </rPh>
    <phoneticPr fontId="2"/>
  </si>
  <si>
    <t>カタログに表示された許容流入流量が②のQの値以上、</t>
    <phoneticPr fontId="2"/>
  </si>
  <si>
    <t>且つ、標準阻集グリースの質量が③のGの値以上となる阻集器を選定する。</t>
    <rPh sb="0" eb="1">
      <t>カ</t>
    </rPh>
    <phoneticPr fontId="2"/>
  </si>
  <si>
    <t>　L/min　以上</t>
    <rPh sb="7" eb="9">
      <t>イジョウ</t>
    </rPh>
    <phoneticPr fontId="2"/>
  </si>
  <si>
    <t>　㎏　以上</t>
    <rPh sb="3" eb="5">
      <t>イジョウ</t>
    </rPh>
    <phoneticPr fontId="2"/>
  </si>
  <si>
    <t>⑤</t>
    <phoneticPr fontId="2"/>
  </si>
  <si>
    <t>グリース阻集器の型式選定</t>
    <rPh sb="4" eb="5">
      <t>ソ</t>
    </rPh>
    <rPh sb="5" eb="6">
      <t>シュウ</t>
    </rPh>
    <rPh sb="6" eb="7">
      <t>キ</t>
    </rPh>
    <rPh sb="8" eb="10">
      <t>カタシキ</t>
    </rPh>
    <rPh sb="10" eb="12">
      <t>センテイ</t>
    </rPh>
    <phoneticPr fontId="2"/>
  </si>
  <si>
    <t>型式</t>
    <rPh sb="0" eb="2">
      <t>カタシキ</t>
    </rPh>
    <phoneticPr fontId="2"/>
  </si>
  <si>
    <t>流入形態</t>
    <rPh sb="0" eb="2">
      <t>リュウニュウ</t>
    </rPh>
    <rPh sb="2" eb="4">
      <t>ケイタイ</t>
    </rPh>
    <phoneticPr fontId="2"/>
  </si>
  <si>
    <t>上記選定条件と下記仕様条件を満足する、グリース阻集器の型式を選定する。</t>
    <rPh sb="0" eb="2">
      <t>ジョウキ</t>
    </rPh>
    <rPh sb="2" eb="4">
      <t>センテイ</t>
    </rPh>
    <rPh sb="4" eb="6">
      <t>ジョウケン</t>
    </rPh>
    <rPh sb="11" eb="13">
      <t>ジョウケン</t>
    </rPh>
    <rPh sb="14" eb="16">
      <t>マンゾク</t>
    </rPh>
    <rPh sb="23" eb="24">
      <t>ソ</t>
    </rPh>
    <rPh sb="24" eb="25">
      <t>シュウ</t>
    </rPh>
    <rPh sb="25" eb="26">
      <t>キ</t>
    </rPh>
    <rPh sb="27" eb="29">
      <t>カタシキ</t>
    </rPh>
    <rPh sb="30" eb="32">
      <t>センテイ</t>
    </rPh>
    <phoneticPr fontId="2"/>
  </si>
  <si>
    <t>許容流入流量</t>
    <phoneticPr fontId="2"/>
  </si>
  <si>
    <t>阻集グリース及び堆積残渣の質量</t>
    <phoneticPr fontId="2"/>
  </si>
  <si>
    <t>ホーコス株式会社</t>
    <rPh sb="4" eb="6">
      <t>カブシキ</t>
    </rPh>
    <rPh sb="6" eb="8">
      <t>カイシャ</t>
    </rPh>
    <phoneticPr fontId="2"/>
  </si>
  <si>
    <t>備考</t>
    <rPh sb="0" eb="2">
      <t>ビコウ</t>
    </rPh>
    <phoneticPr fontId="2"/>
  </si>
  <si>
    <t>　L/min</t>
    <phoneticPr fontId="2"/>
  </si>
  <si>
    <t>　㎏</t>
    <phoneticPr fontId="2"/>
  </si>
  <si>
    <t>件名：</t>
    <rPh sb="0" eb="2">
      <t>ケンメイ</t>
    </rPh>
    <phoneticPr fontId="2"/>
  </si>
  <si>
    <t>　認定品</t>
    <rPh sb="1" eb="3">
      <t>ニンテイ</t>
    </rPh>
    <rPh sb="3" eb="4">
      <t>ヒン</t>
    </rPh>
    <phoneticPr fontId="2"/>
  </si>
  <si>
    <t>　床置型</t>
    <rPh sb="1" eb="2">
      <t>ユカ</t>
    </rPh>
    <rPh sb="2" eb="3">
      <t>オ</t>
    </rPh>
    <rPh sb="3" eb="4">
      <t>ガタ</t>
    </rPh>
    <phoneticPr fontId="2"/>
  </si>
  <si>
    <t>　ステンレス製</t>
    <rPh sb="6" eb="7">
      <t>セイ</t>
    </rPh>
    <phoneticPr fontId="2"/>
  </si>
  <si>
    <t>　FRP製</t>
    <rPh sb="4" eb="5">
      <t>セイ</t>
    </rPh>
    <phoneticPr fontId="2"/>
  </si>
  <si>
    <t>阻集グリース及び堆積残渣の質量</t>
    <phoneticPr fontId="2"/>
  </si>
  <si>
    <t>仕様満足は1</t>
    <rPh sb="0" eb="2">
      <t>シヨウ</t>
    </rPh>
    <rPh sb="2" eb="4">
      <t>マンゾク</t>
    </rPh>
    <phoneticPr fontId="2"/>
  </si>
  <si>
    <t>性能満足は1</t>
    <rPh sb="0" eb="2">
      <t>セイノウ</t>
    </rPh>
    <rPh sb="2" eb="4">
      <t>マンゾク</t>
    </rPh>
    <phoneticPr fontId="2"/>
  </si>
  <si>
    <t>両方満足は1</t>
    <rPh sb="0" eb="2">
      <t>リョウホウ</t>
    </rPh>
    <rPh sb="2" eb="4">
      <t>マンゾク</t>
    </rPh>
    <phoneticPr fontId="2"/>
  </si>
  <si>
    <t>許容
流入
流量</t>
    <rPh sb="0" eb="2">
      <t>キョヨウ</t>
    </rPh>
    <rPh sb="3" eb="5">
      <t>リュウニュウ</t>
    </rPh>
    <rPh sb="6" eb="8">
      <t>リュウリョウ</t>
    </rPh>
    <phoneticPr fontId="2"/>
  </si>
  <si>
    <t>阻集グリース
及び堆積残渣
の質量</t>
    <rPh sb="0" eb="1">
      <t>ケワ</t>
    </rPh>
    <rPh sb="1" eb="2">
      <t>シュウ</t>
    </rPh>
    <rPh sb="7" eb="8">
      <t>オヨ</t>
    </rPh>
    <rPh sb="9" eb="11">
      <t>タイセキ</t>
    </rPh>
    <rPh sb="11" eb="13">
      <t>ザンサ</t>
    </rPh>
    <rPh sb="15" eb="17">
      <t>シツリョウ</t>
    </rPh>
    <phoneticPr fontId="2"/>
  </si>
  <si>
    <t>容量
(参考)</t>
    <rPh sb="0" eb="2">
      <t>ヨウリョウ</t>
    </rPh>
    <rPh sb="4" eb="6">
      <t>サンコウ</t>
    </rPh>
    <phoneticPr fontId="2"/>
  </si>
  <si>
    <t>満足する
最小容量を
求める係数</t>
    <rPh sb="0" eb="2">
      <t>マンゾク</t>
    </rPh>
    <rPh sb="5" eb="7">
      <t>サイショウ</t>
    </rPh>
    <rPh sb="7" eb="9">
      <t>ヨウリョウ</t>
    </rPh>
    <rPh sb="11" eb="12">
      <t>モト</t>
    </rPh>
    <rPh sb="14" eb="16">
      <t>ケイスウ</t>
    </rPh>
    <phoneticPr fontId="2"/>
  </si>
  <si>
    <t>※</t>
    <phoneticPr fontId="2"/>
  </si>
  <si>
    <t>※</t>
    <phoneticPr fontId="2"/>
  </si>
  <si>
    <t>※</t>
    <phoneticPr fontId="2"/>
  </si>
  <si>
    <t>①</t>
    <phoneticPr fontId="2"/>
  </si>
  <si>
    <t>計算結果</t>
    <phoneticPr fontId="2"/>
  </si>
  <si>
    <t>食種</t>
    <phoneticPr fontId="2"/>
  </si>
  <si>
    <t>受渡当事者間の打合せ</t>
    <phoneticPr fontId="2"/>
  </si>
  <si>
    <t>No.</t>
    <phoneticPr fontId="2"/>
  </si>
  <si>
    <t>受渡当事者間の打合せ</t>
    <phoneticPr fontId="2"/>
  </si>
  <si>
    <t>Wm'</t>
    <phoneticPr fontId="2"/>
  </si>
  <si>
    <t>倍</t>
    <phoneticPr fontId="2"/>
  </si>
  <si>
    <t>t</t>
    <phoneticPr fontId="2"/>
  </si>
  <si>
    <t>k</t>
    <phoneticPr fontId="2"/>
  </si>
  <si>
    <t>ラーメン</t>
    <phoneticPr fontId="2"/>
  </si>
  <si>
    <t>そば・うどん</t>
    <phoneticPr fontId="2"/>
  </si>
  <si>
    <r>
      <t>i</t>
    </r>
    <r>
      <rPr>
        <vertAlign val="subscript"/>
        <sz val="11"/>
        <rFont val="ＭＳ Ｐゴシック"/>
        <family val="3"/>
        <charset val="128"/>
      </rPr>
      <t>b</t>
    </r>
    <phoneticPr fontId="2"/>
  </si>
  <si>
    <t>ファーストフード</t>
    <phoneticPr fontId="2"/>
  </si>
  <si>
    <t>kg/g</t>
    <phoneticPr fontId="2"/>
  </si>
  <si>
    <t>②</t>
    <phoneticPr fontId="2"/>
  </si>
  <si>
    <t>流入流量の算出</t>
    <phoneticPr fontId="2"/>
  </si>
  <si>
    <t>Q</t>
    <phoneticPr fontId="2"/>
  </si>
  <si>
    <t>L/min</t>
    <phoneticPr fontId="2"/>
  </si>
  <si>
    <t>③</t>
    <phoneticPr fontId="2"/>
  </si>
  <si>
    <t>阻集グリース及びたい積残さの質量の算出</t>
    <phoneticPr fontId="2"/>
  </si>
  <si>
    <r>
      <t>G</t>
    </r>
    <r>
      <rPr>
        <vertAlign val="subscript"/>
        <sz val="11"/>
        <rFont val="ＭＳ Ｐゴシック"/>
        <family val="3"/>
        <charset val="128"/>
      </rPr>
      <t>u</t>
    </r>
    <phoneticPr fontId="2"/>
  </si>
  <si>
    <t>kg</t>
    <phoneticPr fontId="2"/>
  </si>
  <si>
    <r>
      <t>G</t>
    </r>
    <r>
      <rPr>
        <vertAlign val="subscript"/>
        <sz val="11"/>
        <rFont val="ＭＳ Ｐゴシック"/>
        <family val="3"/>
        <charset val="128"/>
      </rPr>
      <t>b</t>
    </r>
    <phoneticPr fontId="2"/>
  </si>
  <si>
    <t>㎏</t>
    <phoneticPr fontId="2"/>
  </si>
  <si>
    <r>
      <t>G=G</t>
    </r>
    <r>
      <rPr>
        <vertAlign val="subscript"/>
        <sz val="11"/>
        <rFont val="ＭＳ Ｐゴシック"/>
        <family val="3"/>
        <charset val="128"/>
      </rPr>
      <t>u</t>
    </r>
    <r>
      <rPr>
        <sz val="11"/>
        <rFont val="ＭＳ Ｐゴシック"/>
        <family val="3"/>
        <charset val="128"/>
      </rPr>
      <t>+G</t>
    </r>
    <r>
      <rPr>
        <vertAlign val="subscript"/>
        <sz val="11"/>
        <rFont val="ＭＳ Ｐゴシック"/>
        <family val="3"/>
        <charset val="128"/>
      </rPr>
      <t>b</t>
    </r>
    <phoneticPr fontId="2"/>
  </si>
  <si>
    <t>G</t>
    <phoneticPr fontId="2"/>
  </si>
  <si>
    <t>㎏</t>
    <phoneticPr fontId="2"/>
  </si>
  <si>
    <t>④</t>
    <phoneticPr fontId="2"/>
  </si>
  <si>
    <t>カタログに表示された許容流入流量が②のQの値以上、</t>
    <phoneticPr fontId="2"/>
  </si>
  <si>
    <t>阻集グリース及び堆積残渣の質量</t>
    <phoneticPr fontId="2"/>
  </si>
  <si>
    <t>⑤</t>
    <phoneticPr fontId="2"/>
  </si>
  <si>
    <t>許容流入流量</t>
    <phoneticPr fontId="2"/>
  </si>
  <si>
    <t>阻集グリース及び堆積残渣の質量</t>
    <phoneticPr fontId="2"/>
  </si>
  <si>
    <t>印刷はB7：G68の範囲をA4-1枚に出力して下さい。(その様に初期設定しております）</t>
    <rPh sb="10" eb="12">
      <t>ハンイ</t>
    </rPh>
    <rPh sb="17" eb="18">
      <t>マイ</t>
    </rPh>
    <rPh sb="19" eb="21">
      <t>シュツリョク</t>
    </rPh>
    <rPh sb="23" eb="24">
      <t>クダ</t>
    </rPh>
    <rPh sb="30" eb="31">
      <t>ヨウ</t>
    </rPh>
    <rPh sb="32" eb="34">
      <t>ショキ</t>
    </rPh>
    <rPh sb="34" eb="36">
      <t>セッテイ</t>
    </rPh>
    <phoneticPr fontId="2"/>
  </si>
  <si>
    <t>N</t>
    <phoneticPr fontId="2"/>
  </si>
  <si>
    <t>1日あたりの利用人数</t>
    <rPh sb="1" eb="2">
      <t>ニチ</t>
    </rPh>
    <rPh sb="6" eb="8">
      <t>リヨウ</t>
    </rPh>
    <rPh sb="8" eb="10">
      <t>ニンズウ</t>
    </rPh>
    <phoneticPr fontId="2"/>
  </si>
  <si>
    <r>
      <t>W</t>
    </r>
    <r>
      <rPr>
        <vertAlign val="subscript"/>
        <sz val="11"/>
        <rFont val="ＭＳ Ｐゴシック"/>
        <family val="3"/>
        <charset val="128"/>
      </rPr>
      <t>m'</t>
    </r>
    <phoneticPr fontId="2"/>
  </si>
  <si>
    <r>
      <t>g</t>
    </r>
    <r>
      <rPr>
        <vertAlign val="subscript"/>
        <sz val="11"/>
        <rFont val="ＭＳ Ｐゴシック"/>
        <family val="3"/>
        <charset val="128"/>
      </rPr>
      <t>u'</t>
    </r>
    <phoneticPr fontId="2"/>
  </si>
  <si>
    <r>
      <t>g</t>
    </r>
    <r>
      <rPr>
        <vertAlign val="subscript"/>
        <sz val="11"/>
        <rFont val="ＭＳ Ｐゴシック"/>
        <family val="3"/>
        <charset val="128"/>
      </rPr>
      <t>b'</t>
    </r>
    <phoneticPr fontId="2"/>
  </si>
  <si>
    <r>
      <t>利用人数1人</t>
    </r>
    <r>
      <rPr>
        <sz val="11"/>
        <rFont val="ＭＳ Ｐゴシック"/>
        <family val="3"/>
        <charset val="128"/>
      </rPr>
      <t>あたりの使用水量</t>
    </r>
    <rPh sb="0" eb="2">
      <t>リヨウ</t>
    </rPh>
    <rPh sb="2" eb="4">
      <t>ニンズウ</t>
    </rPh>
    <rPh sb="5" eb="6">
      <t>ニン</t>
    </rPh>
    <rPh sb="10" eb="12">
      <t>シヨウ</t>
    </rPh>
    <rPh sb="12" eb="14">
      <t>スイリョウ</t>
    </rPh>
    <phoneticPr fontId="2"/>
  </si>
  <si>
    <t>利用人数1人あたりの阻集グリースの質量</t>
    <rPh sb="10" eb="12">
      <t>ソシュウ</t>
    </rPh>
    <rPh sb="17" eb="19">
      <t>シツリョウ</t>
    </rPh>
    <phoneticPr fontId="2"/>
  </si>
  <si>
    <t>利用人数1人あたりの堆積残渣の質量</t>
    <rPh sb="10" eb="12">
      <t>タイセキ</t>
    </rPh>
    <rPh sb="12" eb="13">
      <t>ザン</t>
    </rPh>
    <rPh sb="15" eb="17">
      <t>シツリョウ</t>
    </rPh>
    <phoneticPr fontId="2"/>
  </si>
  <si>
    <t>g/人</t>
    <phoneticPr fontId="2"/>
  </si>
  <si>
    <t>L/人</t>
    <phoneticPr fontId="2"/>
  </si>
  <si>
    <r>
      <t>Q=N･W</t>
    </r>
    <r>
      <rPr>
        <vertAlign val="subscript"/>
        <sz val="11"/>
        <rFont val="ＭＳ Ｐゴシック"/>
        <family val="3"/>
        <charset val="128"/>
      </rPr>
      <t>m'</t>
    </r>
    <r>
      <rPr>
        <sz val="11"/>
        <rFont val="ＭＳ Ｐゴシック"/>
        <family val="3"/>
        <charset val="128"/>
      </rPr>
      <t>×</t>
    </r>
    <r>
      <rPr>
        <sz val="11"/>
        <rFont val="ＭＳ Ｐゴシック"/>
        <family val="3"/>
        <charset val="128"/>
      </rPr>
      <t>(1/t)k</t>
    </r>
    <phoneticPr fontId="2"/>
  </si>
  <si>
    <r>
      <t>g</t>
    </r>
    <r>
      <rPr>
        <vertAlign val="subscript"/>
        <sz val="11"/>
        <rFont val="ＭＳ Ｐゴシック"/>
        <family val="3"/>
        <charset val="128"/>
      </rPr>
      <t>b'</t>
    </r>
    <phoneticPr fontId="2"/>
  </si>
  <si>
    <r>
      <t>G</t>
    </r>
    <r>
      <rPr>
        <vertAlign val="subscript"/>
        <sz val="11"/>
        <rFont val="ＭＳ Ｐゴシック"/>
        <family val="3"/>
        <charset val="128"/>
      </rPr>
      <t>u</t>
    </r>
    <r>
      <rPr>
        <sz val="11"/>
        <rFont val="ＭＳ Ｐゴシック"/>
        <family val="3"/>
        <charset val="128"/>
      </rPr>
      <t>=N･g</t>
    </r>
    <r>
      <rPr>
        <vertAlign val="subscript"/>
        <sz val="11"/>
        <rFont val="ＭＳ Ｐゴシック"/>
        <family val="3"/>
        <charset val="128"/>
      </rPr>
      <t>u'</t>
    </r>
    <r>
      <rPr>
        <sz val="11"/>
        <rFont val="ＭＳ Ｐゴシック"/>
        <family val="3"/>
        <charset val="128"/>
      </rPr>
      <t>×i</t>
    </r>
    <r>
      <rPr>
        <vertAlign val="subscript"/>
        <sz val="11"/>
        <rFont val="ＭＳ Ｐゴシック"/>
        <family val="3"/>
        <charset val="128"/>
      </rPr>
      <t>u</t>
    </r>
    <r>
      <rPr>
        <sz val="11"/>
        <rFont val="ＭＳ Ｐゴシック"/>
        <family val="3"/>
        <charset val="128"/>
      </rPr>
      <t>･C</t>
    </r>
    <r>
      <rPr>
        <vertAlign val="subscript"/>
        <sz val="11"/>
        <rFont val="ＭＳ Ｐゴシック"/>
        <family val="3"/>
        <charset val="128"/>
      </rPr>
      <t>2</t>
    </r>
    <r>
      <rPr>
        <sz val="11"/>
        <rFont val="ＭＳ Ｐゴシック"/>
        <family val="3"/>
        <charset val="128"/>
      </rPr>
      <t xml:space="preserve"> </t>
    </r>
    <phoneticPr fontId="2"/>
  </si>
  <si>
    <r>
      <t>G</t>
    </r>
    <r>
      <rPr>
        <vertAlign val="subscript"/>
        <sz val="11"/>
        <rFont val="ＭＳ Ｐゴシック"/>
        <family val="3"/>
        <charset val="128"/>
      </rPr>
      <t>b</t>
    </r>
    <r>
      <rPr>
        <sz val="11"/>
        <rFont val="ＭＳ Ｐゴシック"/>
        <family val="3"/>
        <charset val="128"/>
      </rPr>
      <t>=N･g</t>
    </r>
    <r>
      <rPr>
        <vertAlign val="subscript"/>
        <sz val="11"/>
        <rFont val="ＭＳ Ｐゴシック"/>
        <family val="3"/>
        <charset val="128"/>
      </rPr>
      <t>b'</t>
    </r>
    <r>
      <rPr>
        <sz val="11"/>
        <rFont val="ＭＳ Ｐゴシック"/>
        <family val="3"/>
        <charset val="128"/>
      </rPr>
      <t>×</t>
    </r>
    <r>
      <rPr>
        <sz val="11"/>
        <rFont val="ＭＳ Ｐゴシック"/>
        <family val="3"/>
        <charset val="128"/>
      </rPr>
      <t>i</t>
    </r>
    <r>
      <rPr>
        <vertAlign val="subscript"/>
        <sz val="11"/>
        <rFont val="ＭＳ Ｐゴシック"/>
        <family val="3"/>
        <charset val="128"/>
      </rPr>
      <t>b</t>
    </r>
    <r>
      <rPr>
        <sz val="11"/>
        <rFont val="ＭＳ Ｐゴシック"/>
        <family val="3"/>
        <charset val="128"/>
      </rPr>
      <t>･C</t>
    </r>
    <r>
      <rPr>
        <vertAlign val="subscript"/>
        <sz val="11"/>
        <rFont val="ＭＳ Ｐゴシック"/>
        <family val="3"/>
        <charset val="128"/>
      </rPr>
      <t>2</t>
    </r>
    <r>
      <rPr>
        <sz val="11"/>
        <rFont val="ＭＳ Ｐゴシック"/>
        <family val="3"/>
        <charset val="128"/>
      </rPr>
      <t xml:space="preserve"> </t>
    </r>
    <phoneticPr fontId="2"/>
  </si>
  <si>
    <t>GS3-30H</t>
    <phoneticPr fontId="2"/>
  </si>
  <si>
    <t>GS3-50H</t>
    <phoneticPr fontId="2"/>
  </si>
  <si>
    <t>GF2-7K</t>
    <phoneticPr fontId="2"/>
  </si>
  <si>
    <t>GS2-7H</t>
    <phoneticPr fontId="2"/>
  </si>
  <si>
    <t>GS3-15H</t>
    <phoneticPr fontId="2"/>
  </si>
  <si>
    <t>　SUS製耐火型</t>
    <rPh sb="4" eb="5">
      <t>セイ</t>
    </rPh>
    <rPh sb="5" eb="7">
      <t>タイカ</t>
    </rPh>
    <rPh sb="7" eb="8">
      <t>ガタ</t>
    </rPh>
    <phoneticPr fontId="2"/>
  </si>
  <si>
    <t>　SUS製セイリュー式</t>
    <rPh sb="4" eb="5">
      <t>セイ</t>
    </rPh>
    <rPh sb="10" eb="11">
      <t>シキ</t>
    </rPh>
    <phoneticPr fontId="2"/>
  </si>
  <si>
    <t>　SUS製耐火型セイリュー式</t>
    <rPh sb="4" eb="5">
      <t>セイ</t>
    </rPh>
    <rPh sb="5" eb="7">
      <t>タイカ</t>
    </rPh>
    <rPh sb="7" eb="8">
      <t>ガタ</t>
    </rPh>
    <phoneticPr fontId="2"/>
  </si>
  <si>
    <t>　FRP製丸型</t>
    <rPh sb="4" eb="5">
      <t>セイ</t>
    </rPh>
    <rPh sb="5" eb="6">
      <t>マル</t>
    </rPh>
    <rPh sb="6" eb="7">
      <t>ガタ</t>
    </rPh>
    <phoneticPr fontId="2"/>
  </si>
  <si>
    <t>　側溝式</t>
    <rPh sb="1" eb="3">
      <t>ソッコウ</t>
    </rPh>
    <rPh sb="3" eb="4">
      <t>シキ</t>
    </rPh>
    <phoneticPr fontId="2"/>
  </si>
  <si>
    <t>カタログ
掲載
ページ</t>
    <rPh sb="5" eb="7">
      <t>ケイサイ</t>
    </rPh>
    <phoneticPr fontId="2"/>
  </si>
  <si>
    <t>　床吊・地中埋設兼用</t>
    <rPh sb="1" eb="2">
      <t>ユカ</t>
    </rPh>
    <rPh sb="2" eb="3">
      <t>ツリ</t>
    </rPh>
    <rPh sb="4" eb="6">
      <t>チチュウ</t>
    </rPh>
    <rPh sb="6" eb="8">
      <t>マイセツ</t>
    </rPh>
    <rPh sb="8" eb="10">
      <t>ケンヨウ</t>
    </rPh>
    <phoneticPr fontId="2"/>
  </si>
  <si>
    <t>　地中埋設専用</t>
    <rPh sb="1" eb="3">
      <t>チチュウ</t>
    </rPh>
    <rPh sb="3" eb="5">
      <t>マイセツ</t>
    </rPh>
    <rPh sb="5" eb="7">
      <t>センヨウ</t>
    </rPh>
    <phoneticPr fontId="2"/>
  </si>
  <si>
    <t>　FRP製レジコン補強型</t>
    <rPh sb="4" eb="5">
      <t>セイ</t>
    </rPh>
    <rPh sb="11" eb="12">
      <t>ガタ</t>
    </rPh>
    <phoneticPr fontId="2"/>
  </si>
  <si>
    <t>　床吊専用</t>
    <rPh sb="1" eb="2">
      <t>ユカ</t>
    </rPh>
    <rPh sb="2" eb="3">
      <t>ツリ</t>
    </rPh>
    <rPh sb="3" eb="5">
      <t>センヨウ</t>
    </rPh>
    <phoneticPr fontId="2"/>
  </si>
  <si>
    <t>　地中埋設専用(スリム型)</t>
    <rPh sb="1" eb="3">
      <t>チチュウ</t>
    </rPh>
    <rPh sb="3" eb="5">
      <t>マイセツ</t>
    </rPh>
    <rPh sb="5" eb="7">
      <t>センヨウ</t>
    </rPh>
    <rPh sb="11" eb="12">
      <t>ガタ</t>
    </rPh>
    <phoneticPr fontId="2"/>
  </si>
  <si>
    <t>　床置型(グリース回収機構付)</t>
    <rPh sb="1" eb="2">
      <t>ユカ</t>
    </rPh>
    <rPh sb="2" eb="3">
      <t>オ</t>
    </rPh>
    <rPh sb="3" eb="4">
      <t>ガタ</t>
    </rPh>
    <rPh sb="9" eb="11">
      <t>カイシュウ</t>
    </rPh>
    <rPh sb="11" eb="13">
      <t>キコウ</t>
    </rPh>
    <rPh sb="13" eb="14">
      <t>ツ</t>
    </rPh>
    <phoneticPr fontId="2"/>
  </si>
  <si>
    <t>　床置型(業務シンク専用)</t>
    <rPh sb="1" eb="2">
      <t>ユカ</t>
    </rPh>
    <rPh sb="2" eb="3">
      <t>オ</t>
    </rPh>
    <rPh sb="3" eb="4">
      <t>ガタ</t>
    </rPh>
    <rPh sb="5" eb="7">
      <t>ギョウム</t>
    </rPh>
    <rPh sb="10" eb="12">
      <t>センヨウ</t>
    </rPh>
    <phoneticPr fontId="2"/>
  </si>
  <si>
    <t>　パイプ式</t>
    <rPh sb="4" eb="5">
      <t>シキ</t>
    </rPh>
    <phoneticPr fontId="2"/>
  </si>
  <si>
    <t>認定の
有無</t>
    <phoneticPr fontId="2"/>
  </si>
  <si>
    <t>材質
・構造</t>
    <rPh sb="0" eb="2">
      <t>ザイシツ</t>
    </rPh>
    <rPh sb="4" eb="6">
      <t>コウゾウ</t>
    </rPh>
    <phoneticPr fontId="2"/>
  </si>
  <si>
    <t>据付方法</t>
    <rPh sb="0" eb="2">
      <t>スエツケ</t>
    </rPh>
    <rPh sb="2" eb="4">
      <t>ホウホウ</t>
    </rPh>
    <phoneticPr fontId="2"/>
  </si>
  <si>
    <t>　シンダー埋設型（浅型)</t>
    <rPh sb="5" eb="8">
      <t>マイセツガタ</t>
    </rPh>
    <rPh sb="9" eb="10">
      <t>アサ</t>
    </rPh>
    <rPh sb="10" eb="11">
      <t>ガタ</t>
    </rPh>
    <phoneticPr fontId="2"/>
  </si>
  <si>
    <t>　シンダー埋設型（超浅型)</t>
    <rPh sb="5" eb="8">
      <t>マイセツガタ</t>
    </rPh>
    <rPh sb="9" eb="10">
      <t>チョウ</t>
    </rPh>
    <rPh sb="10" eb="11">
      <t>アサ</t>
    </rPh>
    <rPh sb="11" eb="12">
      <t>ガタ</t>
    </rPh>
    <phoneticPr fontId="2"/>
  </si>
  <si>
    <t>　シンダー埋設型（浅型スリム)</t>
    <rPh sb="5" eb="8">
      <t>マイセツガタ</t>
    </rPh>
    <rPh sb="9" eb="10">
      <t>アサ</t>
    </rPh>
    <rPh sb="10" eb="11">
      <t>ガタ</t>
    </rPh>
    <phoneticPr fontId="2"/>
  </si>
  <si>
    <t>　側溝兼用型</t>
    <rPh sb="1" eb="3">
      <t>ソッコウ</t>
    </rPh>
    <rPh sb="3" eb="5">
      <t>ケンヨウ</t>
    </rPh>
    <rPh sb="5" eb="6">
      <t>ガタ</t>
    </rPh>
    <phoneticPr fontId="2"/>
  </si>
  <si>
    <t>　別枠蓋型</t>
    <rPh sb="1" eb="3">
      <t>ベツワク</t>
    </rPh>
    <rPh sb="3" eb="4">
      <t>フタ</t>
    </rPh>
    <rPh sb="4" eb="5">
      <t>ガタ</t>
    </rPh>
    <phoneticPr fontId="2"/>
  </si>
  <si>
    <t>　蓋直置型</t>
    <rPh sb="1" eb="2">
      <t>フタ</t>
    </rPh>
    <rPh sb="2" eb="3">
      <t>ジカ</t>
    </rPh>
    <rPh sb="3" eb="4">
      <t>オ</t>
    </rPh>
    <rPh sb="4" eb="5">
      <t>ガタ</t>
    </rPh>
    <phoneticPr fontId="2"/>
  </si>
  <si>
    <t>　嵩上付蓋直置型</t>
    <rPh sb="1" eb="3">
      <t>カサア</t>
    </rPh>
    <rPh sb="3" eb="4">
      <t>ツ</t>
    </rPh>
    <rPh sb="4" eb="5">
      <t>フタ</t>
    </rPh>
    <rPh sb="5" eb="6">
      <t>ジカ</t>
    </rPh>
    <rPh sb="6" eb="7">
      <t>オ</t>
    </rPh>
    <rPh sb="7" eb="8">
      <t>ガタ</t>
    </rPh>
    <phoneticPr fontId="2"/>
  </si>
  <si>
    <t>　地中埋設専用(深型)</t>
    <rPh sb="1" eb="3">
      <t>チチュウ</t>
    </rPh>
    <rPh sb="3" eb="5">
      <t>マイセツ</t>
    </rPh>
    <rPh sb="5" eb="7">
      <t>センヨウ</t>
    </rPh>
    <rPh sb="8" eb="9">
      <t>ブカ</t>
    </rPh>
    <rPh sb="9" eb="10">
      <t>ガタ</t>
    </rPh>
    <phoneticPr fontId="2"/>
  </si>
  <si>
    <t>　床置型（薄型)</t>
    <rPh sb="1" eb="2">
      <t>ユカ</t>
    </rPh>
    <rPh sb="2" eb="3">
      <t>オ</t>
    </rPh>
    <rPh sb="3" eb="4">
      <t>ガタ</t>
    </rPh>
    <rPh sb="5" eb="6">
      <t>ウス</t>
    </rPh>
    <rPh sb="6" eb="7">
      <t>カタ</t>
    </rPh>
    <phoneticPr fontId="2"/>
  </si>
  <si>
    <t>流入形態</t>
    <phoneticPr fontId="2"/>
  </si>
  <si>
    <t>蓋枠</t>
    <rPh sb="0" eb="1">
      <t>フタ</t>
    </rPh>
    <rPh sb="1" eb="2">
      <t>ワク</t>
    </rPh>
    <phoneticPr fontId="2"/>
  </si>
  <si>
    <t>食数計算</t>
    <rPh sb="0" eb="1">
      <t>ショク</t>
    </rPh>
    <rPh sb="1" eb="2">
      <t>スウ</t>
    </rPh>
    <rPh sb="2" eb="4">
      <t>ケイサン</t>
    </rPh>
    <phoneticPr fontId="2"/>
  </si>
  <si>
    <t>面積計算</t>
    <rPh sb="0" eb="2">
      <t>メンセキ</t>
    </rPh>
    <rPh sb="2" eb="4">
      <t>ケイサン</t>
    </rPh>
    <phoneticPr fontId="2"/>
  </si>
  <si>
    <t>行目</t>
    <phoneticPr fontId="2"/>
  </si>
  <si>
    <t>行目</t>
    <phoneticPr fontId="2"/>
  </si>
  <si>
    <t>推奨する型式</t>
    <phoneticPr fontId="2"/>
  </si>
  <si>
    <t>印刷はB7：G65の範囲をA4-1枚に出力して下さい。(その様に初期設定しております）</t>
    <rPh sb="10" eb="12">
      <t>ハンイ</t>
    </rPh>
    <rPh sb="17" eb="18">
      <t>マイ</t>
    </rPh>
    <rPh sb="19" eb="21">
      <t>シュツリョク</t>
    </rPh>
    <rPh sb="23" eb="24">
      <t>クダ</t>
    </rPh>
    <rPh sb="30" eb="31">
      <t>ヨウ</t>
    </rPh>
    <rPh sb="32" eb="34">
      <t>ショキ</t>
    </rPh>
    <rPh sb="34" eb="36">
      <t>セッテイ</t>
    </rPh>
    <phoneticPr fontId="2"/>
  </si>
  <si>
    <t>注記</t>
    <rPh sb="0" eb="1">
      <t>チュウ</t>
    </rPh>
    <rPh sb="1" eb="2">
      <t>キ</t>
    </rPh>
    <phoneticPr fontId="2"/>
  </si>
  <si>
    <t>３．許容流入流量は容量の75％を小数点以下１桁に四捨五入した</t>
    <rPh sb="2" eb="4">
      <t>キョヨウ</t>
    </rPh>
    <rPh sb="4" eb="6">
      <t>リュウニュウ</t>
    </rPh>
    <rPh sb="6" eb="8">
      <t>リュウリョウ</t>
    </rPh>
    <rPh sb="9" eb="11">
      <t>ヨウリョウ</t>
    </rPh>
    <rPh sb="16" eb="19">
      <t>ショウスウテン</t>
    </rPh>
    <rPh sb="19" eb="21">
      <t>イカ</t>
    </rPh>
    <rPh sb="22" eb="23">
      <t>ケタ</t>
    </rPh>
    <rPh sb="24" eb="28">
      <t>シシャゴニュウ</t>
    </rPh>
    <phoneticPr fontId="2"/>
  </si>
  <si>
    <t>基本的には水色のセルを選択若しくは書込みして下さい。</t>
    <rPh sb="5" eb="7">
      <t>ミズイロ</t>
    </rPh>
    <rPh sb="11" eb="13">
      <t>センタク</t>
    </rPh>
    <rPh sb="13" eb="14">
      <t>モ</t>
    </rPh>
    <rPh sb="17" eb="18">
      <t>カ</t>
    </rPh>
    <rPh sb="18" eb="19">
      <t>コ</t>
    </rPh>
    <phoneticPr fontId="2"/>
  </si>
  <si>
    <t>黄色のセルは書換え可能ですが、一旦書換えると式が消えますので復活するには「元に戻す」して下さい。</t>
    <rPh sb="0" eb="2">
      <t>キイロ</t>
    </rPh>
    <phoneticPr fontId="2"/>
  </si>
  <si>
    <t>日付</t>
    <rPh sb="0" eb="2">
      <t>ヒヅケ</t>
    </rPh>
    <phoneticPr fontId="2"/>
  </si>
  <si>
    <t>担当</t>
    <rPh sb="0" eb="2">
      <t>タントウ</t>
    </rPh>
    <phoneticPr fontId="2"/>
  </si>
  <si>
    <t>記事</t>
    <rPh sb="0" eb="2">
      <t>キジ</t>
    </rPh>
    <phoneticPr fontId="2"/>
  </si>
  <si>
    <t>藤井万</t>
    <rPh sb="0" eb="2">
      <t>フジイ</t>
    </rPh>
    <rPh sb="2" eb="3">
      <t>マン</t>
    </rPh>
    <phoneticPr fontId="2"/>
  </si>
  <si>
    <t>書式作成</t>
    <rPh sb="0" eb="2">
      <t>ショシキ</t>
    </rPh>
    <rPh sb="2" eb="4">
      <t>サクセイ</t>
    </rPh>
    <phoneticPr fontId="2"/>
  </si>
  <si>
    <t>ＮにＵＰ（試用期間）</t>
    <phoneticPr fontId="2"/>
  </si>
  <si>
    <t>認定の
有無</t>
    <phoneticPr fontId="2"/>
  </si>
  <si>
    <t>型式選定する際の選択肢を本表右外部に参考の為掲示した</t>
    <rPh sb="0" eb="2">
      <t>カタシキ</t>
    </rPh>
    <rPh sb="2" eb="4">
      <t>センテイ</t>
    </rPh>
    <rPh sb="6" eb="7">
      <t>サイ</t>
    </rPh>
    <rPh sb="8" eb="11">
      <t>センタクシ</t>
    </rPh>
    <rPh sb="12" eb="13">
      <t>ホン</t>
    </rPh>
    <rPh sb="13" eb="14">
      <t>ヒョウ</t>
    </rPh>
    <rPh sb="14" eb="15">
      <t>ミギ</t>
    </rPh>
    <rPh sb="15" eb="17">
      <t>ガイブ</t>
    </rPh>
    <rPh sb="18" eb="20">
      <t>サンコウ</t>
    </rPh>
    <rPh sb="21" eb="22">
      <t>タメ</t>
    </rPh>
    <rPh sb="22" eb="24">
      <t>ケイジ</t>
    </rPh>
    <phoneticPr fontId="2"/>
  </si>
  <si>
    <t>認定品ベースの非認定品の許容流入流量は認定品に合わせた。</t>
    <rPh sb="0" eb="2">
      <t>ニンテイ</t>
    </rPh>
    <rPh sb="2" eb="3">
      <t>ヒン</t>
    </rPh>
    <rPh sb="7" eb="8">
      <t>ヒ</t>
    </rPh>
    <rPh sb="8" eb="10">
      <t>ニンテイ</t>
    </rPh>
    <rPh sb="10" eb="11">
      <t>ヒン</t>
    </rPh>
    <rPh sb="12" eb="14">
      <t>キョヨウ</t>
    </rPh>
    <rPh sb="14" eb="16">
      <t>リュウニュウ</t>
    </rPh>
    <rPh sb="16" eb="18">
      <t>リュウリョウ</t>
    </rPh>
    <rPh sb="19" eb="21">
      <t>ニンテイ</t>
    </rPh>
    <rPh sb="21" eb="22">
      <t>ヒン</t>
    </rPh>
    <rPh sb="23" eb="24">
      <t>ア</t>
    </rPh>
    <phoneticPr fontId="2"/>
  </si>
  <si>
    <t>印刷時ヘッダーに「SHASE-S217-2008による・・・」と印字させた。</t>
    <rPh sb="0" eb="2">
      <t>インサツ</t>
    </rPh>
    <rPh sb="2" eb="3">
      <t>ジ</t>
    </rPh>
    <rPh sb="32" eb="34">
      <t>インジ</t>
    </rPh>
    <phoneticPr fontId="2"/>
  </si>
  <si>
    <t>　認定外</t>
    <rPh sb="1" eb="3">
      <t>ニンテイ</t>
    </rPh>
    <rPh sb="3" eb="4">
      <t>ガイ</t>
    </rPh>
    <phoneticPr fontId="2"/>
  </si>
  <si>
    <t>２．認定外の容量は呼称容量です。</t>
    <rPh sb="2" eb="4">
      <t>ニンテイ</t>
    </rPh>
    <rPh sb="4" eb="5">
      <t>ガイ</t>
    </rPh>
    <rPh sb="6" eb="8">
      <t>ヨウリョウ</t>
    </rPh>
    <rPh sb="9" eb="11">
      <t>コショウ</t>
    </rPh>
    <rPh sb="11" eb="13">
      <t>ヨウリョウ</t>
    </rPh>
    <phoneticPr fontId="2"/>
  </si>
  <si>
    <t>１．認定品及び認定品ベースの容量は申請容量です。</t>
    <rPh sb="2" eb="4">
      <t>ニンテイ</t>
    </rPh>
    <rPh sb="4" eb="5">
      <t>ヒン</t>
    </rPh>
    <rPh sb="5" eb="6">
      <t>オヨ</t>
    </rPh>
    <rPh sb="7" eb="9">
      <t>ニンテイ</t>
    </rPh>
    <rPh sb="9" eb="10">
      <t>ヒン</t>
    </rPh>
    <rPh sb="14" eb="16">
      <t>ヨウリョウ</t>
    </rPh>
    <rPh sb="17" eb="19">
      <t>シンセイ</t>
    </rPh>
    <rPh sb="19" eb="21">
      <t>ヨウリョウ</t>
    </rPh>
    <phoneticPr fontId="2"/>
  </si>
  <si>
    <t>５．「認定」とはSHASE性能認定であり、</t>
    <rPh sb="3" eb="5">
      <t>ニンテイ</t>
    </rPh>
    <rPh sb="13" eb="15">
      <t>セイノウ</t>
    </rPh>
    <rPh sb="15" eb="17">
      <t>ニンテイ</t>
    </rPh>
    <phoneticPr fontId="2"/>
  </si>
  <si>
    <t>グリース阻集器容量算定･型式選定書</t>
    <rPh sb="4" eb="5">
      <t>ソ</t>
    </rPh>
    <rPh sb="5" eb="6">
      <t>シュウ</t>
    </rPh>
    <rPh sb="6" eb="7">
      <t>キ</t>
    </rPh>
    <rPh sb="7" eb="9">
      <t>ヨウリョウ</t>
    </rPh>
    <rPh sb="9" eb="11">
      <t>サンテイ</t>
    </rPh>
    <rPh sb="12" eb="14">
      <t>カタシキ</t>
    </rPh>
    <rPh sb="14" eb="16">
      <t>センテイ</t>
    </rPh>
    <rPh sb="16" eb="17">
      <t>ショ</t>
    </rPh>
    <phoneticPr fontId="2"/>
  </si>
  <si>
    <t>グリース阻集器容量算定･型式選定書</t>
    <phoneticPr fontId="2"/>
  </si>
  <si>
    <t>食種及び店舗全面積、その他条件</t>
    <rPh sb="12" eb="13">
      <t>タ</t>
    </rPh>
    <rPh sb="13" eb="15">
      <t>ジョウケン</t>
    </rPh>
    <phoneticPr fontId="2"/>
  </si>
  <si>
    <t>食種及び利用人数（延べ人数＝食数）、その他条件</t>
    <rPh sb="4" eb="6">
      <t>リヨウ</t>
    </rPh>
    <rPh sb="6" eb="8">
      <t>ニンズウ</t>
    </rPh>
    <rPh sb="9" eb="10">
      <t>ノ</t>
    </rPh>
    <rPh sb="11" eb="13">
      <t>ニンズウ</t>
    </rPh>
    <rPh sb="14" eb="15">
      <t>ショク</t>
    </rPh>
    <rPh sb="15" eb="16">
      <t>スウ</t>
    </rPh>
    <rPh sb="20" eb="21">
      <t>タ</t>
    </rPh>
    <rPh sb="21" eb="23">
      <t>ジョウケン</t>
    </rPh>
    <phoneticPr fontId="2"/>
  </si>
  <si>
    <t>工業会認定の有無</t>
    <rPh sb="0" eb="3">
      <t>コウギョウカイ</t>
    </rPh>
    <rPh sb="3" eb="5">
      <t>ニンテイ</t>
    </rPh>
    <rPh sb="6" eb="8">
      <t>ウム</t>
    </rPh>
    <phoneticPr fontId="2"/>
  </si>
  <si>
    <t>受渡当事者間の打合せにより定めてもよい。</t>
    <rPh sb="0" eb="2">
      <t>ウケワタシ</t>
    </rPh>
    <rPh sb="2" eb="4">
      <t>トウジ</t>
    </rPh>
    <rPh sb="4" eb="5">
      <t>シャ</t>
    </rPh>
    <rPh sb="5" eb="6">
      <t>カン</t>
    </rPh>
    <rPh sb="7" eb="9">
      <t>ウチアワ</t>
    </rPh>
    <rPh sb="13" eb="14">
      <t>サダ</t>
    </rPh>
    <phoneticPr fontId="2"/>
  </si>
  <si>
    <t>※1：</t>
    <phoneticPr fontId="2"/>
  </si>
  <si>
    <t>※2：</t>
    <phoneticPr fontId="2"/>
  </si>
  <si>
    <t>選択セルの保護を解除</t>
    <rPh sb="0" eb="2">
      <t>センタク</t>
    </rPh>
    <rPh sb="5" eb="7">
      <t>ホゴ</t>
    </rPh>
    <rPh sb="8" eb="10">
      <t>カイジョ</t>
    </rPh>
    <phoneticPr fontId="2"/>
  </si>
  <si>
    <t>面積計算の面積の入力範囲を整数限定から全ての数字に変更</t>
    <phoneticPr fontId="2"/>
  </si>
  <si>
    <t>容量の切替わりの部分で逆転が起らない様にする為に、算出式によって</t>
    <rPh sb="0" eb="2">
      <t>ヨウリョウ</t>
    </rPh>
    <rPh sb="3" eb="5">
      <t>キリカ</t>
    </rPh>
    <rPh sb="8" eb="10">
      <t>ブブン</t>
    </rPh>
    <rPh sb="11" eb="13">
      <t>ギャクテン</t>
    </rPh>
    <rPh sb="14" eb="15">
      <t>オコ</t>
    </rPh>
    <rPh sb="18" eb="19">
      <t>ヨウ</t>
    </rPh>
    <rPh sb="22" eb="23">
      <t>タメ</t>
    </rPh>
    <rPh sb="25" eb="27">
      <t>サンシュツ</t>
    </rPh>
    <rPh sb="27" eb="28">
      <t>シキ</t>
    </rPh>
    <phoneticPr fontId="2"/>
  </si>
  <si>
    <t>算出した補正回転数の値は丸めずに以降の計算を行なうことにした。</t>
    <phoneticPr fontId="2"/>
  </si>
  <si>
    <t>但し、表示は小数点以下1桁に四捨五入した値である。</t>
    <phoneticPr fontId="2"/>
  </si>
  <si>
    <t>面積計算、食数計算共に①のｋの要目欄の文字がはみ出るので、</t>
    <rPh sb="0" eb="2">
      <t>メンセキ</t>
    </rPh>
    <rPh sb="2" eb="4">
      <t>ケイサン</t>
    </rPh>
    <rPh sb="5" eb="6">
      <t>ショク</t>
    </rPh>
    <rPh sb="6" eb="7">
      <t>スウ</t>
    </rPh>
    <rPh sb="7" eb="9">
      <t>ケイサン</t>
    </rPh>
    <rPh sb="9" eb="10">
      <t>トモ</t>
    </rPh>
    <rPh sb="15" eb="17">
      <t>ヨウモク</t>
    </rPh>
    <rPh sb="17" eb="18">
      <t>ラン</t>
    </rPh>
    <rPh sb="19" eb="21">
      <t>モジ</t>
    </rPh>
    <rPh sb="24" eb="25">
      <t>デ</t>
    </rPh>
    <phoneticPr fontId="2"/>
  </si>
  <si>
    <t>縮小して全体を表示した。</t>
    <phoneticPr fontId="2"/>
  </si>
  <si>
    <t>印刷時ヘッダーに「SHASE-S217-2008による・・・」との印字をやめた。</t>
    <phoneticPr fontId="2"/>
  </si>
  <si>
    <t>面積計算の補正回転数を書き換え可能にした。この場合もSHASE規格に</t>
    <rPh sb="5" eb="7">
      <t>ホセイ</t>
    </rPh>
    <rPh sb="7" eb="10">
      <t>カイテンスウ</t>
    </rPh>
    <rPh sb="11" eb="12">
      <t>カ</t>
    </rPh>
    <rPh sb="13" eb="14">
      <t>カ</t>
    </rPh>
    <rPh sb="15" eb="17">
      <t>カノウ</t>
    </rPh>
    <rPh sb="23" eb="25">
      <t>バアイ</t>
    </rPh>
    <phoneticPr fontId="2"/>
  </si>
  <si>
    <t>型式選定時、上から順に仕様を選択すると、選択できるものだけが順次</t>
    <rPh sb="0" eb="2">
      <t>カタシキ</t>
    </rPh>
    <rPh sb="2" eb="4">
      <t>センテイ</t>
    </rPh>
    <rPh sb="4" eb="5">
      <t>ジ</t>
    </rPh>
    <rPh sb="6" eb="7">
      <t>ウエ</t>
    </rPh>
    <rPh sb="9" eb="10">
      <t>ジュン</t>
    </rPh>
    <rPh sb="11" eb="13">
      <t>シヨウ</t>
    </rPh>
    <rPh sb="14" eb="16">
      <t>センタク</t>
    </rPh>
    <rPh sb="20" eb="22">
      <t>センタク</t>
    </rPh>
    <rPh sb="30" eb="32">
      <t>ジュンジ</t>
    </rPh>
    <phoneticPr fontId="2"/>
  </si>
  <si>
    <t>　リストに載る様にした。</t>
    <phoneticPr fontId="2"/>
  </si>
  <si>
    <t>　準拠しなければならず、その根拠を自ら記入すること。（規格表の数値は</t>
    <rPh sb="1" eb="3">
      <t>ジュンキョ</t>
    </rPh>
    <rPh sb="17" eb="18">
      <t>ミズカ</t>
    </rPh>
    <rPh sb="27" eb="29">
      <t>キカク</t>
    </rPh>
    <rPh sb="29" eb="30">
      <t>ヒョウ</t>
    </rPh>
    <rPh sb="31" eb="33">
      <t>スウチ</t>
    </rPh>
    <phoneticPr fontId="2"/>
  </si>
  <si>
    <t>型式選定結果、流入量･阻集量を満足する製品が無い場合は「－」を表示した。</t>
    <rPh sb="0" eb="2">
      <t>カタシキ</t>
    </rPh>
    <rPh sb="2" eb="4">
      <t>センテイ</t>
    </rPh>
    <rPh sb="4" eb="6">
      <t>ケッカ</t>
    </rPh>
    <rPh sb="7" eb="9">
      <t>リュウニュウ</t>
    </rPh>
    <rPh sb="9" eb="10">
      <t>リョウ</t>
    </rPh>
    <rPh sb="11" eb="12">
      <t>ソ</t>
    </rPh>
    <rPh sb="12" eb="13">
      <t>シュウ</t>
    </rPh>
    <rPh sb="13" eb="14">
      <t>リョウ</t>
    </rPh>
    <rPh sb="15" eb="17">
      <t>マンゾク</t>
    </rPh>
    <rPh sb="19" eb="20">
      <t>セイ</t>
    </rPh>
    <rPh sb="20" eb="21">
      <t>ヒン</t>
    </rPh>
    <rPh sb="22" eb="23">
      <t>ナ</t>
    </rPh>
    <rPh sb="24" eb="26">
      <t>バアイ</t>
    </rPh>
    <rPh sb="31" eb="33">
      <t>ヒョウジ</t>
    </rPh>
    <phoneticPr fontId="2"/>
  </si>
  <si>
    <t>「非認定品」を「認定外」に言い換え。その他、表示を一部変更した。</t>
    <rPh sb="1" eb="2">
      <t>ヒ</t>
    </rPh>
    <rPh sb="2" eb="4">
      <t>ニンテイ</t>
    </rPh>
    <rPh sb="4" eb="5">
      <t>ヒン</t>
    </rPh>
    <rPh sb="8" eb="10">
      <t>ニンテイ</t>
    </rPh>
    <rPh sb="10" eb="11">
      <t>ガイ</t>
    </rPh>
    <rPh sb="13" eb="16">
      <t>イイカ</t>
    </rPh>
    <rPh sb="20" eb="21">
      <t>タ</t>
    </rPh>
    <rPh sb="22" eb="24">
      <t>ヒョウジ</t>
    </rPh>
    <rPh sb="25" eb="27">
      <t>イチブ</t>
    </rPh>
    <rPh sb="27" eb="29">
      <t>ヘンコウ</t>
    </rPh>
    <phoneticPr fontId="2"/>
  </si>
  <si>
    <t>両計算書共にB7-G11のセルのロックを解除しました。</t>
    <rPh sb="0" eb="1">
      <t>リョウ</t>
    </rPh>
    <rPh sb="1" eb="4">
      <t>ケイサンショ</t>
    </rPh>
    <rPh sb="4" eb="5">
      <t>トモ</t>
    </rPh>
    <rPh sb="20" eb="22">
      <t>カイジョ</t>
    </rPh>
    <phoneticPr fontId="2"/>
  </si>
  <si>
    <t>手計算で確認した場合に一致するように、面積計算のE26セルの計算式で算出した補正回転数の値を小数点以下1桁に四捨五入した。</t>
    <rPh sb="0" eb="1">
      <t>テ</t>
    </rPh>
    <rPh sb="1" eb="3">
      <t>ケイサン</t>
    </rPh>
    <rPh sb="4" eb="6">
      <t>カクニン</t>
    </rPh>
    <rPh sb="8" eb="10">
      <t>バアイ</t>
    </rPh>
    <rPh sb="11" eb="13">
      <t>イッチ</t>
    </rPh>
    <rPh sb="19" eb="21">
      <t>メンセキ</t>
    </rPh>
    <rPh sb="21" eb="23">
      <t>ケイサン</t>
    </rPh>
    <rPh sb="30" eb="32">
      <t>ケイサン</t>
    </rPh>
    <rPh sb="32" eb="33">
      <t>シキ</t>
    </rPh>
    <rPh sb="34" eb="36">
      <t>サンシュツ</t>
    </rPh>
    <rPh sb="38" eb="40">
      <t>ホセイ</t>
    </rPh>
    <rPh sb="40" eb="43">
      <t>カイテンスウ</t>
    </rPh>
    <rPh sb="44" eb="45">
      <t>アタイ</t>
    </rPh>
    <rPh sb="46" eb="49">
      <t>ショウスウテン</t>
    </rPh>
    <rPh sb="49" eb="51">
      <t>イカ</t>
    </rPh>
    <rPh sb="52" eb="53">
      <t>ケタ</t>
    </rPh>
    <rPh sb="54" eb="58">
      <t>シシャゴニュウ</t>
    </rPh>
    <phoneticPr fontId="2"/>
  </si>
  <si>
    <t>小数点以下が何桁でも指定できるように、面積計算のE25とE26セルの書式を「数字｣から｢標準｣に変更した。</t>
    <rPh sb="0" eb="3">
      <t>ショウスウテン</t>
    </rPh>
    <rPh sb="3" eb="5">
      <t>イカ</t>
    </rPh>
    <rPh sb="6" eb="8">
      <t>ナンケタ</t>
    </rPh>
    <rPh sb="10" eb="12">
      <t>シテイ</t>
    </rPh>
    <rPh sb="19" eb="21">
      <t>メンセキ</t>
    </rPh>
    <rPh sb="21" eb="23">
      <t>ケイサン</t>
    </rPh>
    <rPh sb="34" eb="36">
      <t>ショシキ</t>
    </rPh>
    <rPh sb="38" eb="40">
      <t>スウジ</t>
    </rPh>
    <rPh sb="44" eb="46">
      <t>ヒョウジュン</t>
    </rPh>
    <rPh sb="48" eb="50">
      <t>ヘンコウ</t>
    </rPh>
    <phoneticPr fontId="2"/>
  </si>
  <si>
    <t>両計算書共に備考欄を｢折り返して文字を表示」できる様に訂正した。</t>
    <rPh sb="0" eb="1">
      <t>リョウ</t>
    </rPh>
    <rPh sb="1" eb="4">
      <t>ケイサンショ</t>
    </rPh>
    <rPh sb="4" eb="5">
      <t>トモ</t>
    </rPh>
    <rPh sb="6" eb="8">
      <t>ビコウ</t>
    </rPh>
    <rPh sb="8" eb="9">
      <t>ラン</t>
    </rPh>
    <rPh sb="11" eb="12">
      <t>オ</t>
    </rPh>
    <rPh sb="13" eb="14">
      <t>カエ</t>
    </rPh>
    <rPh sb="16" eb="18">
      <t>モジ</t>
    </rPh>
    <rPh sb="19" eb="21">
      <t>ヒョウジ</t>
    </rPh>
    <rPh sb="25" eb="26">
      <t>ヨウ</t>
    </rPh>
    <rPh sb="27" eb="29">
      <t>テイセイ</t>
    </rPh>
    <phoneticPr fontId="2"/>
  </si>
  <si>
    <t>両計算書共に件名を｢文字を縮小して･･･」に訂正した。</t>
    <rPh sb="0" eb="1">
      <t>リョウ</t>
    </rPh>
    <rPh sb="1" eb="4">
      <t>ケイサンショ</t>
    </rPh>
    <rPh sb="4" eb="5">
      <t>トモ</t>
    </rPh>
    <rPh sb="6" eb="8">
      <t>ケンメイ</t>
    </rPh>
    <rPh sb="10" eb="12">
      <t>モジ</t>
    </rPh>
    <rPh sb="13" eb="15">
      <t>シュクショウ</t>
    </rPh>
    <rPh sb="22" eb="24">
      <t>テイセイ</t>
    </rPh>
    <phoneticPr fontId="2"/>
  </si>
  <si>
    <t>　計算値に対して多少の誤差があり、表の値に訂正を求められることが</t>
    <rPh sb="5" eb="6">
      <t>タイ</t>
    </rPh>
    <rPh sb="8" eb="10">
      <t>タショウ</t>
    </rPh>
    <rPh sb="11" eb="12">
      <t>ゴ</t>
    </rPh>
    <rPh sb="12" eb="13">
      <t>サ</t>
    </rPh>
    <rPh sb="17" eb="18">
      <t>ヒョウ</t>
    </rPh>
    <rPh sb="19" eb="20">
      <t>チ</t>
    </rPh>
    <rPh sb="21" eb="23">
      <t>テイセイ</t>
    </rPh>
    <rPh sb="24" eb="25">
      <t>モト</t>
    </rPh>
    <phoneticPr fontId="2"/>
  </si>
  <si>
    <t>　稀にある為）</t>
    <phoneticPr fontId="2"/>
  </si>
  <si>
    <t>佐藤太</t>
    <rPh sb="0" eb="2">
      <t>サトウ</t>
    </rPh>
    <rPh sb="2" eb="3">
      <t>タ</t>
    </rPh>
    <phoneticPr fontId="2"/>
  </si>
  <si>
    <t>入力後、面積計算（利用人数に基づく算定の場合は利用人数計算）のシートを開いて下さい。</t>
    <rPh sb="0" eb="2">
      <t>ニュウリョク</t>
    </rPh>
    <rPh sb="2" eb="3">
      <t>ゴ</t>
    </rPh>
    <rPh sb="4" eb="6">
      <t>メンセキ</t>
    </rPh>
    <rPh sb="6" eb="8">
      <t>ケイサン</t>
    </rPh>
    <rPh sb="9" eb="11">
      <t>リヨウ</t>
    </rPh>
    <rPh sb="11" eb="13">
      <t>ニンズウ</t>
    </rPh>
    <rPh sb="14" eb="15">
      <t>モト</t>
    </rPh>
    <rPh sb="17" eb="19">
      <t>サンテイ</t>
    </rPh>
    <rPh sb="20" eb="22">
      <t>バアイ</t>
    </rPh>
    <rPh sb="23" eb="25">
      <t>リヨウ</t>
    </rPh>
    <rPh sb="25" eb="27">
      <t>ニンズウ</t>
    </rPh>
    <rPh sb="27" eb="29">
      <t>ケイサン</t>
    </rPh>
    <rPh sb="35" eb="36">
      <t>ヒラ</t>
    </rPh>
    <rPh sb="38" eb="42">
      <t>ｋ</t>
    </rPh>
    <phoneticPr fontId="2"/>
  </si>
  <si>
    <t>グリース阻集器の容量算定・型式選定書が作製できます。</t>
    <rPh sb="0" eb="7">
      <t>ｇｔ</t>
    </rPh>
    <rPh sb="8" eb="10">
      <t>ヨウリョウ</t>
    </rPh>
    <rPh sb="10" eb="12">
      <t>サンテイ</t>
    </rPh>
    <rPh sb="13" eb="15">
      <t>カタシキ</t>
    </rPh>
    <rPh sb="15" eb="17">
      <t>センテイ</t>
    </rPh>
    <rPh sb="17" eb="18">
      <t>ショ</t>
    </rPh>
    <rPh sb="19" eb="21">
      <t>サクセイ</t>
    </rPh>
    <phoneticPr fontId="2"/>
  </si>
  <si>
    <t>※本フォーマットでは表示されない機種をご要望の場合は、お近くの当社支店・営業所までお問合わせ下さい。</t>
    <rPh sb="1" eb="2">
      <t>ホン</t>
    </rPh>
    <rPh sb="10" eb="12">
      <t>ヒョウジ</t>
    </rPh>
    <rPh sb="16" eb="18">
      <t>キシュ</t>
    </rPh>
    <rPh sb="20" eb="22">
      <t>ヨウボウ</t>
    </rPh>
    <rPh sb="23" eb="25">
      <t>バアイ</t>
    </rPh>
    <rPh sb="28" eb="29">
      <t>チカ</t>
    </rPh>
    <rPh sb="31" eb="33">
      <t>トウシャ</t>
    </rPh>
    <rPh sb="33" eb="39">
      <t>シ</t>
    </rPh>
    <rPh sb="42" eb="44">
      <t>トイア</t>
    </rPh>
    <rPh sb="46" eb="50">
      <t>ｋ</t>
    </rPh>
    <phoneticPr fontId="2"/>
  </si>
  <si>
    <t>流入流量および阻集グリースの質量の算定</t>
    <rPh sb="17" eb="19">
      <t>サンテイ</t>
    </rPh>
    <phoneticPr fontId="2"/>
  </si>
  <si>
    <t>項　　　目</t>
    <rPh sb="0" eb="1">
      <t>コウ</t>
    </rPh>
    <rPh sb="4" eb="5">
      <t>メ</t>
    </rPh>
    <phoneticPr fontId="2"/>
  </si>
  <si>
    <t>条　　　　　　件</t>
    <rPh sb="0" eb="1">
      <t>ジョウ</t>
    </rPh>
    <rPh sb="7" eb="8">
      <t>ケン</t>
    </rPh>
    <phoneticPr fontId="2"/>
  </si>
  <si>
    <t>食種</t>
    <rPh sb="0" eb="1">
      <t>ショク</t>
    </rPh>
    <rPh sb="1" eb="2">
      <t>シュ</t>
    </rPh>
    <phoneticPr fontId="2"/>
  </si>
  <si>
    <t>提出先</t>
    <rPh sb="0" eb="2">
      <t>テイシュツ</t>
    </rPh>
    <rPh sb="2" eb="3">
      <t>サキ</t>
    </rPh>
    <phoneticPr fontId="2"/>
  </si>
  <si>
    <t>現場名</t>
    <rPh sb="0" eb="2">
      <t>ゲンバ</t>
    </rPh>
    <rPh sb="2" eb="3">
      <t>メイ</t>
    </rPh>
    <phoneticPr fontId="2"/>
  </si>
  <si>
    <r>
      <t>食種　</t>
    </r>
    <r>
      <rPr>
        <sz val="10"/>
        <rFont val="ＭＳ Ｐゴシック"/>
        <family val="3"/>
        <charset val="128"/>
      </rPr>
      <t>　　　　　　　　　　　　　　　　　</t>
    </r>
    <r>
      <rPr>
        <sz val="6"/>
        <rFont val="ＭＳ Ｐゴシック"/>
        <family val="3"/>
        <charset val="128"/>
      </rPr>
      <t>（調理内容種別）</t>
    </r>
    <rPh sb="0" eb="1">
      <t>ショク</t>
    </rPh>
    <rPh sb="1" eb="2">
      <t>シュ</t>
    </rPh>
    <rPh sb="21" eb="23">
      <t>チョウリ</t>
    </rPh>
    <rPh sb="23" eb="25">
      <t>ナイヨウ</t>
    </rPh>
    <rPh sb="25" eb="27">
      <t>シュベツ</t>
    </rPh>
    <phoneticPr fontId="2"/>
  </si>
  <si>
    <t>※</t>
    <phoneticPr fontId="2"/>
  </si>
  <si>
    <r>
      <t>店舗全面積　　　　　　　　　　　　</t>
    </r>
    <r>
      <rPr>
        <sz val="6"/>
        <rFont val="ＭＳ Ｐゴシック"/>
        <family val="3"/>
        <charset val="128"/>
      </rPr>
      <t>　　　　　　　　（厨房を含む）</t>
    </r>
    <phoneticPr fontId="2"/>
  </si>
  <si>
    <t>ラーメン</t>
    <phoneticPr fontId="2"/>
  </si>
  <si>
    <r>
      <t>利用人数　　　　　　　　　　　　　　　　　　　　　　</t>
    </r>
    <r>
      <rPr>
        <sz val="6"/>
        <rFont val="ＭＳ Ｐゴシック"/>
        <family val="3"/>
        <charset val="128"/>
      </rPr>
      <t>（利用者延べ人数＝食数）</t>
    </r>
    <rPh sb="27" eb="29">
      <t>リヨウ</t>
    </rPh>
    <rPh sb="29" eb="30">
      <t>シャ</t>
    </rPh>
    <phoneticPr fontId="2"/>
  </si>
  <si>
    <t>そば・うどん</t>
    <phoneticPr fontId="2"/>
  </si>
  <si>
    <t>※阻集器の選定は一般にちゅう房を含む店舗全面積に基づく選定方法を用いて下さい。　　　　　　　　　　　　　　　　　　　　　　　　　　　　　　　　　　　　　　　　　　　　　　　　　　　　　　　　　利用人数が判明している場合には、利用人数に基づく選定方法を用いることも可能です。</t>
    <rPh sb="35" eb="39">
      <t>ｋ</t>
    </rPh>
    <rPh sb="131" eb="133">
      <t>カノウ</t>
    </rPh>
    <phoneticPr fontId="2"/>
  </si>
  <si>
    <t>型式選定の条件</t>
    <rPh sb="0" eb="2">
      <t>カタシキ</t>
    </rPh>
    <rPh sb="2" eb="4">
      <t>センテイ</t>
    </rPh>
    <rPh sb="5" eb="7">
      <t>ジョウケン</t>
    </rPh>
    <phoneticPr fontId="2"/>
  </si>
  <si>
    <t>ファーストフード</t>
    <phoneticPr fontId="2"/>
  </si>
  <si>
    <t>受渡当事者間の打合せ</t>
    <phoneticPr fontId="2"/>
  </si>
  <si>
    <r>
      <t>ステンレス製/側溝導入式</t>
    </r>
    <r>
      <rPr>
        <sz val="11"/>
        <rFont val="ＭＳ Ｐゴシック"/>
        <family val="3"/>
        <charset val="128"/>
      </rPr>
      <t>/</t>
    </r>
    <r>
      <rPr>
        <sz val="11"/>
        <rFont val="ＭＳ Ｐゴシック"/>
        <family val="3"/>
        <charset val="128"/>
      </rPr>
      <t>床吊・地中埋設兼用</t>
    </r>
    <rPh sb="7" eb="12">
      <t>ソ</t>
    </rPh>
    <phoneticPr fontId="2"/>
  </si>
  <si>
    <r>
      <t>ステンレス製/側溝導入式</t>
    </r>
    <r>
      <rPr>
        <sz val="11"/>
        <rFont val="ＭＳ Ｐゴシック"/>
        <family val="3"/>
        <charset val="128"/>
      </rPr>
      <t>/</t>
    </r>
    <r>
      <rPr>
        <sz val="11"/>
        <rFont val="ＭＳ Ｐゴシック"/>
        <family val="3"/>
        <charset val="128"/>
      </rPr>
      <t>地中埋設専用</t>
    </r>
    <rPh sb="7" eb="12">
      <t>ソ</t>
    </rPh>
    <phoneticPr fontId="2"/>
  </si>
  <si>
    <r>
      <t>ステンレス製/パイプ導入式</t>
    </r>
    <r>
      <rPr>
        <sz val="11"/>
        <rFont val="ＭＳ Ｐゴシック"/>
        <family val="3"/>
        <charset val="128"/>
      </rPr>
      <t>/</t>
    </r>
    <r>
      <rPr>
        <sz val="11"/>
        <rFont val="ＭＳ Ｐゴシック"/>
        <family val="3"/>
        <charset val="128"/>
      </rPr>
      <t>床吊専用</t>
    </r>
    <rPh sb="7" eb="13">
      <t>ｐ</t>
    </rPh>
    <phoneticPr fontId="2"/>
  </si>
  <si>
    <t>ステンレス製/パイプ導入式/地中埋設専用</t>
    <rPh sb="7" eb="13">
      <t>ｐ</t>
    </rPh>
    <phoneticPr fontId="2"/>
  </si>
  <si>
    <t>ステンレス製/床置型</t>
    <phoneticPr fontId="2"/>
  </si>
  <si>
    <t>ＦＲＰ製/側溝導入式/地中埋設専用</t>
    <rPh sb="5" eb="10">
      <t>ソ</t>
    </rPh>
    <phoneticPr fontId="2"/>
  </si>
  <si>
    <t>ＦＲＰ製/パイプ導入式/地中埋設専用</t>
    <rPh sb="5" eb="11">
      <t>ｐ</t>
    </rPh>
    <phoneticPr fontId="2"/>
  </si>
  <si>
    <t>ＦＲＰ製/床置型</t>
  </si>
  <si>
    <t>材質・設置条件</t>
    <rPh sb="0" eb="2">
      <t>ザイシツ</t>
    </rPh>
    <rPh sb="3" eb="5">
      <t>セッチ</t>
    </rPh>
    <rPh sb="5" eb="7">
      <t>ジョウケン</t>
    </rPh>
    <phoneticPr fontId="2"/>
  </si>
  <si>
    <t>材質</t>
    <rPh sb="0" eb="2">
      <t>ザイシツ</t>
    </rPh>
    <phoneticPr fontId="2"/>
  </si>
  <si>
    <t>社内用の選定フォーマットをベースに、Ｗｅｂ用フォーマットを作成
[ 社内用からの変更点 ]
・条件入力シートの追加
・条件入力を簡略化（前Ｗｅｂ用を参考に変更）
・選定可能機種の絞込み(阻集器一覧表を参照、川島部長と相談して決定）
・直置蓋と別枠蓋を一緒に表記させる様に変更
・ＦＲＰ型とレジコン型を一緒に表記させるように変更
・GFRA-V JE / EAを追加
その他注記を追記・変更した。</t>
    <rPh sb="0" eb="2">
      <t>シャナイ</t>
    </rPh>
    <rPh sb="2" eb="3">
      <t>ヨウ</t>
    </rPh>
    <rPh sb="4" eb="6">
      <t>センテイ</t>
    </rPh>
    <rPh sb="21" eb="22">
      <t>ヨウ</t>
    </rPh>
    <rPh sb="29" eb="31">
      <t>サクセイ</t>
    </rPh>
    <rPh sb="34" eb="37">
      <t>シャナイヨウ</t>
    </rPh>
    <rPh sb="40" eb="43">
      <t>ヘンコウテン</t>
    </rPh>
    <rPh sb="47" eb="49">
      <t>ジョウケン</t>
    </rPh>
    <rPh sb="49" eb="51">
      <t>ニュウリョク</t>
    </rPh>
    <rPh sb="55" eb="57">
      <t>ツイカ</t>
    </rPh>
    <rPh sb="59" eb="61">
      <t>ジョウケン</t>
    </rPh>
    <rPh sb="61" eb="63">
      <t>ニュウリョク</t>
    </rPh>
    <rPh sb="64" eb="67">
      <t>カンリャクカ</t>
    </rPh>
    <rPh sb="68" eb="69">
      <t>ゼン</t>
    </rPh>
    <rPh sb="72" eb="73">
      <t>ヨウ</t>
    </rPh>
    <rPh sb="74" eb="76">
      <t>サンコウ</t>
    </rPh>
    <rPh sb="77" eb="79">
      <t>ヘンコウ</t>
    </rPh>
    <rPh sb="82" eb="84">
      <t>センテイ</t>
    </rPh>
    <rPh sb="84" eb="86">
      <t>カノウ</t>
    </rPh>
    <rPh sb="86" eb="88">
      <t>キシュ</t>
    </rPh>
    <rPh sb="89" eb="91">
      <t>シボリコ</t>
    </rPh>
    <rPh sb="93" eb="94">
      <t>ソ</t>
    </rPh>
    <rPh sb="94" eb="95">
      <t>シュウ</t>
    </rPh>
    <rPh sb="95" eb="96">
      <t>キ</t>
    </rPh>
    <rPh sb="96" eb="98">
      <t>イチラン</t>
    </rPh>
    <rPh sb="98" eb="99">
      <t>ヒョウ</t>
    </rPh>
    <rPh sb="100" eb="102">
      <t>サンショウ</t>
    </rPh>
    <rPh sb="103" eb="107">
      <t>カワシマブチョウ</t>
    </rPh>
    <rPh sb="108" eb="110">
      <t>ソウダン</t>
    </rPh>
    <rPh sb="112" eb="114">
      <t>ケッテイ</t>
    </rPh>
    <rPh sb="117" eb="118">
      <t>ジカ</t>
    </rPh>
    <rPh sb="118" eb="119">
      <t>オ</t>
    </rPh>
    <rPh sb="119" eb="120">
      <t>フタ</t>
    </rPh>
    <rPh sb="121" eb="123">
      <t>ベツワク</t>
    </rPh>
    <rPh sb="123" eb="124">
      <t>フタ</t>
    </rPh>
    <rPh sb="125" eb="127">
      <t>イッショ</t>
    </rPh>
    <rPh sb="128" eb="130">
      <t>ヒョウキ</t>
    </rPh>
    <rPh sb="133" eb="134">
      <t>ヨウ</t>
    </rPh>
    <rPh sb="135" eb="137">
      <t>ヘンコウ</t>
    </rPh>
    <rPh sb="142" eb="143">
      <t>ガタ</t>
    </rPh>
    <rPh sb="148" eb="149">
      <t>ガタ</t>
    </rPh>
    <rPh sb="150" eb="152">
      <t>イッショ</t>
    </rPh>
    <rPh sb="153" eb="155">
      <t>ヒョウキ</t>
    </rPh>
    <rPh sb="161" eb="163">
      <t>ヘンコウ</t>
    </rPh>
    <rPh sb="180" eb="182">
      <t>ツイカ</t>
    </rPh>
    <rPh sb="185" eb="186">
      <t>タ</t>
    </rPh>
    <rPh sb="186" eb="188">
      <t>チュウキ</t>
    </rPh>
    <rPh sb="189" eb="191">
      <t>ツイキ</t>
    </rPh>
    <rPh sb="192" eb="194">
      <t>ヘンコウ</t>
    </rPh>
    <phoneticPr fontId="2"/>
  </si>
  <si>
    <t>　L/min</t>
    <phoneticPr fontId="2"/>
  </si>
  <si>
    <t>　㎏</t>
    <phoneticPr fontId="2"/>
  </si>
  <si>
    <t>※店舗全面積と利用人数の両方で算定可能な場合には、
許容流入流量の数値を比較し大きいほうを選定するようにして下さい。</t>
    <rPh sb="1" eb="3">
      <t>テンポ</t>
    </rPh>
    <rPh sb="3" eb="6">
      <t>ゼンメンセキ</t>
    </rPh>
    <rPh sb="7" eb="9">
      <t>リヨウ</t>
    </rPh>
    <rPh sb="9" eb="11">
      <t>ニンズウ</t>
    </rPh>
    <rPh sb="12" eb="14">
      <t>リョウホウ</t>
    </rPh>
    <rPh sb="15" eb="17">
      <t>サンテイ</t>
    </rPh>
    <rPh sb="17" eb="19">
      <t>カノウ</t>
    </rPh>
    <rPh sb="20" eb="22">
      <t>バアイ</t>
    </rPh>
    <rPh sb="26" eb="28">
      <t>キョヨウ</t>
    </rPh>
    <rPh sb="28" eb="30">
      <t>リュウニュウ</t>
    </rPh>
    <rPh sb="30" eb="32">
      <t>リュウリョウ</t>
    </rPh>
    <rPh sb="33" eb="35">
      <t>スウチ</t>
    </rPh>
    <rPh sb="36" eb="38">
      <t>ヒカク</t>
    </rPh>
    <rPh sb="39" eb="40">
      <t>オオ</t>
    </rPh>
    <rPh sb="45" eb="47">
      <t>センテイ</t>
    </rPh>
    <rPh sb="54" eb="55">
      <t>クダ</t>
    </rPh>
    <phoneticPr fontId="2"/>
  </si>
  <si>
    <t>　有り</t>
    <rPh sb="1" eb="2">
      <t>ア</t>
    </rPh>
    <phoneticPr fontId="2"/>
  </si>
  <si>
    <t>※</t>
    <phoneticPr fontId="2"/>
  </si>
  <si>
    <t>←ステンレス製</t>
    <rPh sb="6" eb="7">
      <t>セイ</t>
    </rPh>
    <phoneticPr fontId="2"/>
  </si>
  <si>
    <t>←ＦＲＰ製</t>
    <rPh sb="4" eb="5">
      <t>セイ</t>
    </rPh>
    <phoneticPr fontId="2"/>
  </si>
  <si>
    <t>　なし</t>
    <phoneticPr fontId="2"/>
  </si>
  <si>
    <r>
      <t>手入力は黒字、数式処理は</t>
    </r>
    <r>
      <rPr>
        <sz val="11"/>
        <color indexed="12"/>
        <rFont val="ＭＳ Ｐゴシック"/>
        <family val="3"/>
        <charset val="128"/>
      </rPr>
      <t>青字</t>
    </r>
    <r>
      <rPr>
        <sz val="11"/>
        <rFont val="ＭＳ Ｐゴシック"/>
        <family val="3"/>
        <charset val="128"/>
      </rPr>
      <t>、最新変更履歴は</t>
    </r>
    <r>
      <rPr>
        <sz val="11"/>
        <color indexed="10"/>
        <rFont val="ＭＳ Ｐゴシック"/>
        <family val="3"/>
        <charset val="128"/>
      </rPr>
      <t>赤字</t>
    </r>
    <r>
      <rPr>
        <sz val="11"/>
        <rFont val="ＭＳ Ｐゴシック"/>
        <family val="3"/>
        <charset val="128"/>
      </rPr>
      <t>で入力すること。</t>
    </r>
    <rPh sb="0" eb="1">
      <t>テ</t>
    </rPh>
    <rPh sb="1" eb="3">
      <t>ニュウリョク</t>
    </rPh>
    <rPh sb="4" eb="6">
      <t>クロジ</t>
    </rPh>
    <rPh sb="7" eb="9">
      <t>スウシキ</t>
    </rPh>
    <rPh sb="9" eb="11">
      <t>ショリ</t>
    </rPh>
    <rPh sb="12" eb="13">
      <t>アオ</t>
    </rPh>
    <rPh sb="13" eb="14">
      <t>ジ</t>
    </rPh>
    <rPh sb="15" eb="17">
      <t>サイシン</t>
    </rPh>
    <rPh sb="17" eb="19">
      <t>ヘンコウ</t>
    </rPh>
    <rPh sb="19" eb="21">
      <t>リレキ</t>
    </rPh>
    <rPh sb="22" eb="24">
      <t>アカジ</t>
    </rPh>
    <rPh sb="25" eb="27">
      <t>ニュウリョク</t>
    </rPh>
    <phoneticPr fontId="2"/>
  </si>
  <si>
    <t>ステンレス製/側溝導入式/遮炎型床吊専用</t>
    <rPh sb="7" eb="12">
      <t>ソ</t>
    </rPh>
    <rPh sb="13" eb="14">
      <t>サエギ</t>
    </rPh>
    <rPh sb="14" eb="15">
      <t>エン</t>
    </rPh>
    <rPh sb="15" eb="16">
      <t>ガタ</t>
    </rPh>
    <rPh sb="16" eb="17">
      <t>ユカ</t>
    </rPh>
    <rPh sb="17" eb="18">
      <t>ツリ</t>
    </rPh>
    <rPh sb="18" eb="20">
      <t>センヨウ</t>
    </rPh>
    <phoneticPr fontId="2"/>
  </si>
  <si>
    <t>ステンレス製/パイプ導入式/遮炎型床吊専用</t>
    <rPh sb="7" eb="13">
      <t>ｐ</t>
    </rPh>
    <rPh sb="14" eb="15">
      <t>サエギ</t>
    </rPh>
    <rPh sb="15" eb="16">
      <t>エン</t>
    </rPh>
    <rPh sb="16" eb="17">
      <t>ガタ</t>
    </rPh>
    <rPh sb="17" eb="18">
      <t>ユカ</t>
    </rPh>
    <rPh sb="18" eb="19">
      <t>ツリ</t>
    </rPh>
    <rPh sb="19" eb="21">
      <t>センヨウ</t>
    </rPh>
    <phoneticPr fontId="2"/>
  </si>
  <si>
    <t>　SUS製遮炎型</t>
    <rPh sb="5" eb="6">
      <t>シャ</t>
    </rPh>
    <rPh sb="6" eb="7">
      <t>エン</t>
    </rPh>
    <phoneticPr fontId="2"/>
  </si>
  <si>
    <r>
      <t>下の条件記入欄（</t>
    </r>
    <r>
      <rPr>
        <sz val="11"/>
        <color indexed="41"/>
        <rFont val="ＭＳ Ｐゴシック"/>
        <family val="3"/>
        <charset val="128"/>
      </rPr>
      <t>■</t>
    </r>
    <r>
      <rPr>
        <sz val="11"/>
        <rFont val="ＭＳ Ｐゴシック"/>
        <family val="3"/>
        <charset val="128"/>
      </rPr>
      <t>水色のセル）に、必要な情報を入力又は選択して下さい。</t>
    </r>
    <rPh sb="0" eb="1">
      <t>シタ</t>
    </rPh>
    <rPh sb="2" eb="4">
      <t>ジョウケン</t>
    </rPh>
    <rPh sb="4" eb="6">
      <t>キニュウ</t>
    </rPh>
    <rPh sb="6" eb="7">
      <t>ラン</t>
    </rPh>
    <rPh sb="9" eb="11">
      <t>ミズイロ</t>
    </rPh>
    <rPh sb="17" eb="19">
      <t>ヒツヨウ</t>
    </rPh>
    <rPh sb="20" eb="22">
      <t>ジョウホウ</t>
    </rPh>
    <rPh sb="23" eb="25">
      <t>ニュウリョク</t>
    </rPh>
    <rPh sb="25" eb="26">
      <t>マタ</t>
    </rPh>
    <rPh sb="27" eb="29">
      <t>センタク</t>
    </rPh>
    <rPh sb="31" eb="35">
      <t>ｋ</t>
    </rPh>
    <phoneticPr fontId="2"/>
  </si>
  <si>
    <t>製品の仕様等、詳細については、カタログ等を御確認ください。</t>
  </si>
  <si>
    <t>※阻集器本体の材質と導入方式、設置条件を選択して下さい。</t>
    <rPh sb="4" eb="6">
      <t>ホンタイ</t>
    </rPh>
    <rPh sb="7" eb="9">
      <t>ザイシツ</t>
    </rPh>
    <rPh sb="10" eb="12">
      <t>ドウニュウ</t>
    </rPh>
    <rPh sb="12" eb="14">
      <t>ホウシキ</t>
    </rPh>
    <rPh sb="15" eb="17">
      <t>セッチ</t>
    </rPh>
    <rPh sb="17" eb="19">
      <t>ジョウケン</t>
    </rPh>
    <rPh sb="20" eb="22">
      <t>センタク</t>
    </rPh>
    <rPh sb="24" eb="25">
      <t>クダ</t>
    </rPh>
    <phoneticPr fontId="2"/>
  </si>
  <si>
    <t>GFR-30Fを消去し代わりにGF3-35Ｋ,Gを追加
「工業会認定の有無」を「有り」と「なし」の表現に変更
「工業会認定の有無」を選択から自動入力に変更
「RGR- P」を( )付きから( )なしに変更
「耐火型」から「遮炎型」に変更</t>
    <rPh sb="8" eb="10">
      <t>ショウキョ</t>
    </rPh>
    <rPh sb="11" eb="12">
      <t>カ</t>
    </rPh>
    <rPh sb="25" eb="27">
      <t>ツイカ</t>
    </rPh>
    <rPh sb="29" eb="31">
      <t>コウギョウ</t>
    </rPh>
    <rPh sb="31" eb="32">
      <t>カイ</t>
    </rPh>
    <rPh sb="32" eb="34">
      <t>ニンテイ</t>
    </rPh>
    <rPh sb="35" eb="37">
      <t>ウム</t>
    </rPh>
    <rPh sb="40" eb="41">
      <t>ア</t>
    </rPh>
    <rPh sb="49" eb="51">
      <t>ヒョウゲン</t>
    </rPh>
    <rPh sb="52" eb="54">
      <t>ヘンコウ</t>
    </rPh>
    <rPh sb="56" eb="58">
      <t>コウギョウ</t>
    </rPh>
    <rPh sb="58" eb="59">
      <t>カイ</t>
    </rPh>
    <rPh sb="59" eb="61">
      <t>ニンテイ</t>
    </rPh>
    <rPh sb="62" eb="64">
      <t>ウム</t>
    </rPh>
    <rPh sb="66" eb="68">
      <t>センタク</t>
    </rPh>
    <rPh sb="70" eb="72">
      <t>ジドウ</t>
    </rPh>
    <rPh sb="72" eb="74">
      <t>ニュウリョク</t>
    </rPh>
    <rPh sb="75" eb="77">
      <t>ヘンコウ</t>
    </rPh>
    <rPh sb="90" eb="91">
      <t>ツ</t>
    </rPh>
    <rPh sb="100" eb="102">
      <t>ヘンコウ</t>
    </rPh>
    <rPh sb="104" eb="106">
      <t>タイカ</t>
    </rPh>
    <rPh sb="106" eb="107">
      <t>ガタ</t>
    </rPh>
    <rPh sb="111" eb="112">
      <t>シャ</t>
    </rPh>
    <rPh sb="112" eb="113">
      <t>エン</t>
    </rPh>
    <rPh sb="113" eb="114">
      <t>ガタ</t>
    </rPh>
    <rPh sb="116" eb="118">
      <t>ヘンコウ</t>
    </rPh>
    <phoneticPr fontId="2"/>
  </si>
  <si>
    <t>GFRA-V20～85 JP / PAを追加
GFR-30～80 JP / PAを削除</t>
    <rPh sb="20" eb="22">
      <t>ツイカ</t>
    </rPh>
    <rPh sb="41" eb="43">
      <t>サクジョ</t>
    </rPh>
    <phoneticPr fontId="2"/>
  </si>
  <si>
    <t>GFRA-V150JP　/　PAを追加</t>
    <rPh sb="17" eb="19">
      <t>ツイカ</t>
    </rPh>
    <phoneticPr fontId="2"/>
  </si>
  <si>
    <t>←遮炎型</t>
    <rPh sb="1" eb="2">
      <t>シャ</t>
    </rPh>
    <rPh sb="2" eb="3">
      <t>エン</t>
    </rPh>
    <rPh sb="3" eb="4">
      <t>ガタ</t>
    </rPh>
    <phoneticPr fontId="2"/>
  </si>
  <si>
    <t>GSU- JE / EA / JP / PAを削除
GSU-V JE / EA / JP / PAを追加</t>
    <rPh sb="23" eb="25">
      <t>サクジョ</t>
    </rPh>
    <rPh sb="50" eb="52">
      <t>ツイカ</t>
    </rPh>
    <phoneticPr fontId="2"/>
  </si>
  <si>
    <t>GFRA-V85の「容量（参考）」を「75」から「78」に訂正（誤記訂正）</t>
    <rPh sb="10" eb="12">
      <t>ヨウリョウ</t>
    </rPh>
    <rPh sb="13" eb="15">
      <t>サンコウ</t>
    </rPh>
    <rPh sb="29" eb="31">
      <t>テイセイ</t>
    </rPh>
    <rPh sb="32" eb="34">
      <t>ゴキ</t>
    </rPh>
    <rPh sb="34" eb="36">
      <t>テイセイ</t>
    </rPh>
    <phoneticPr fontId="2"/>
  </si>
  <si>
    <t xml:space="preserve">HGR-V60/80/100/130/160/200/250ETを追加
HGR-V30/６０/80/100/130/160/200/250Pを追加
GFRA-V55JE/EA/JP/PAを追加
カタログ落ちした製品の消去
[ 消去した機種 ]
HGR-60/８０/100/130/160/200/250ET
HGR-30/６０/８０/100/130/160/200/250P </t>
    <rPh sb="33" eb="35">
      <t>ツイカ</t>
    </rPh>
    <rPh sb="101" eb="102">
      <t>オ</t>
    </rPh>
    <rPh sb="105" eb="107">
      <t>セイヒン</t>
    </rPh>
    <rPh sb="113" eb="115">
      <t>ショウキョ</t>
    </rPh>
    <rPh sb="117" eb="119">
      <t>キシュ</t>
    </rPh>
    <phoneticPr fontId="2"/>
  </si>
  <si>
    <t>「面積計算」「食数計算」の「容量（参考）」を消去</t>
    <rPh sb="1" eb="3">
      <t>メンセキ</t>
    </rPh>
    <rPh sb="3" eb="5">
      <t>ケイサン</t>
    </rPh>
    <rPh sb="7" eb="8">
      <t>ショク</t>
    </rPh>
    <rPh sb="8" eb="9">
      <t>スウ</t>
    </rPh>
    <rPh sb="9" eb="11">
      <t>ケイサン</t>
    </rPh>
    <rPh sb="14" eb="16">
      <t>ヨウリョウ</t>
    </rPh>
    <rPh sb="17" eb="19">
      <t>サンコウ</t>
    </rPh>
    <rPh sb="22" eb="24">
      <t>ショウキョ</t>
    </rPh>
    <phoneticPr fontId="2"/>
  </si>
  <si>
    <t>HGS-V45/60/80/100/130/150/200/250/285/335E,ET,PD,PSを追加
FS3-V45/60/80/100/130/150/200/250E,ER,PS,PSRを追加
FS4-V285/335E,ER,PS,PSR、FS4-V375/600E,ER、FS4-V750PS,PSRを追加
HGR-V30ET,HGR-V45ET,Pを追加
HGR-V285/375ET,Pを追加
カタログ落ちした製品の消去
[ 消去した機種 ]
HGS-60/80/100/130/160/200/250/300/380/450E,ET,PD,PS
FS3-60/80/100/130/160/200/250E,ER,PS,PSR
FS4-300/380/450E,ER,PS,PSR、FS4-500/800E,ER、FS4-1000PS,PSR
HGR-380/500ET,P</t>
    <rPh sb="52" eb="54">
      <t>ツイカ</t>
    </rPh>
    <rPh sb="159" eb="161">
      <t>ツイカ</t>
    </rPh>
    <rPh sb="184" eb="186">
      <t>ツイカ</t>
    </rPh>
    <rPh sb="204" eb="206">
      <t>ツイカ</t>
    </rPh>
    <rPh sb="211" eb="212">
      <t>オ</t>
    </rPh>
    <rPh sb="215" eb="217">
      <t>セイヒン</t>
    </rPh>
    <rPh sb="218" eb="220">
      <t>ショウキョ</t>
    </rPh>
    <rPh sb="223" eb="225">
      <t>ショウキョ</t>
    </rPh>
    <rPh sb="227" eb="229">
      <t>キシュ</t>
    </rPh>
    <phoneticPr fontId="2"/>
  </si>
  <si>
    <t>「阻集器一覧」のHGS-V60に記載漏れがあった為、修正</t>
    <rPh sb="1" eb="2">
      <t>ソ</t>
    </rPh>
    <rPh sb="2" eb="3">
      <t>シュウ</t>
    </rPh>
    <rPh sb="3" eb="4">
      <t>キ</t>
    </rPh>
    <rPh sb="4" eb="6">
      <t>イチラン</t>
    </rPh>
    <rPh sb="16" eb="18">
      <t>キサイ</t>
    </rPh>
    <rPh sb="18" eb="19">
      <t>モ</t>
    </rPh>
    <rPh sb="24" eb="25">
      <t>タメ</t>
    </rPh>
    <rPh sb="26" eb="28">
      <t>シュウセイ</t>
    </rPh>
    <phoneticPr fontId="2"/>
  </si>
  <si>
    <t>「阻集器一覧」のFS3-V150PS/PSRがFS3-V160PS/PSRとなっていた為、修正</t>
    <rPh sb="43" eb="44">
      <t>タメ</t>
    </rPh>
    <rPh sb="45" eb="47">
      <t>シュウセイ</t>
    </rPh>
    <phoneticPr fontId="2"/>
  </si>
  <si>
    <t>因子</t>
    <rPh sb="0" eb="2">
      <t>インシ</t>
    </rPh>
    <phoneticPr fontId="2"/>
  </si>
  <si>
    <t>社員・従業員食堂</t>
    <rPh sb="6" eb="8">
      <t>ショクドウ</t>
    </rPh>
    <phoneticPr fontId="2"/>
  </si>
  <si>
    <t>学生食堂</t>
    <rPh sb="0" eb="2">
      <t>ガクセイ</t>
    </rPh>
    <rPh sb="2" eb="4">
      <t>ショクドウ</t>
    </rPh>
    <phoneticPr fontId="2"/>
  </si>
  <si>
    <t>学校給食</t>
    <rPh sb="0" eb="2">
      <t>ガッコウ</t>
    </rPh>
    <rPh sb="2" eb="4">
      <t>キュウショク</t>
    </rPh>
    <phoneticPr fontId="2"/>
  </si>
  <si>
    <t>表5-補正回転数の標準値</t>
    <rPh sb="0" eb="1">
      <t>ヒョウ</t>
    </rPh>
    <rPh sb="3" eb="5">
      <t>ホセイ</t>
    </rPh>
    <rPh sb="5" eb="8">
      <t>カイテンスウ</t>
    </rPh>
    <rPh sb="9" eb="12">
      <t>ヒョウジュンチ</t>
    </rPh>
    <phoneticPr fontId="2"/>
  </si>
  <si>
    <t>補正回転数　[ 人/（席・日） ]</t>
    <rPh sb="0" eb="2">
      <t>ホセイ</t>
    </rPh>
    <rPh sb="2" eb="5">
      <t>カイテンスウ</t>
    </rPh>
    <rPh sb="8" eb="9">
      <t>ヒト</t>
    </rPh>
    <rPh sb="11" eb="12">
      <t>セキ</t>
    </rPh>
    <rPh sb="13" eb="14">
      <t>ニチ</t>
    </rPh>
    <phoneticPr fontId="2"/>
  </si>
  <si>
    <t>ちゅう房を含む店舗全面積　[ ㎡ ]</t>
    <rPh sb="3" eb="4">
      <t>ボウ</t>
    </rPh>
    <rPh sb="5" eb="6">
      <t>フク</t>
    </rPh>
    <rPh sb="7" eb="9">
      <t>テンポ</t>
    </rPh>
    <rPh sb="9" eb="12">
      <t>ゼンメンセキ</t>
    </rPh>
    <phoneticPr fontId="2"/>
  </si>
  <si>
    <t>-</t>
    <phoneticPr fontId="2"/>
  </si>
  <si>
    <t>判定</t>
    <rPh sb="0" eb="2">
      <t>ハンテイ</t>
    </rPh>
    <phoneticPr fontId="2"/>
  </si>
  <si>
    <t>補正回転数の条件</t>
    <rPh sb="0" eb="2">
      <t>ホセイ</t>
    </rPh>
    <rPh sb="2" eb="5">
      <t>カイテンスウ</t>
    </rPh>
    <rPh sb="6" eb="8">
      <t>ジョウケン</t>
    </rPh>
    <phoneticPr fontId="2"/>
  </si>
  <si>
    <t>結果</t>
    <rPh sb="0" eb="2">
      <t>ケッカ</t>
    </rPh>
    <phoneticPr fontId="2"/>
  </si>
  <si>
    <t>標準値：</t>
    <rPh sb="0" eb="3">
      <t>ヒョウジュンチ</t>
    </rPh>
    <phoneticPr fontId="2"/>
  </si>
  <si>
    <t>比例補正値：</t>
    <rPh sb="0" eb="5">
      <t>ヒレイホセイチ</t>
    </rPh>
    <phoneticPr fontId="2"/>
  </si>
  <si>
    <t>回帰式：</t>
    <rPh sb="0" eb="2">
      <t>カイキ</t>
    </rPh>
    <rPh sb="2" eb="3">
      <t>シキ</t>
    </rPh>
    <phoneticPr fontId="2"/>
  </si>
  <si>
    <t>GRS-30F</t>
    <phoneticPr fontId="2"/>
  </si>
  <si>
    <t>GSU-N25F</t>
    <phoneticPr fontId="2"/>
  </si>
  <si>
    <t>GSU-N50F</t>
    <phoneticPr fontId="2"/>
  </si>
  <si>
    <t>GSU-N60F</t>
    <phoneticPr fontId="2"/>
  </si>
  <si>
    <t>GSU-N70F</t>
    <phoneticPr fontId="2"/>
  </si>
  <si>
    <t>GSU-N100F</t>
    <phoneticPr fontId="2"/>
  </si>
  <si>
    <t>GSU-N150F</t>
    <phoneticPr fontId="2"/>
  </si>
  <si>
    <t>GSU-N170F</t>
    <phoneticPr fontId="2"/>
  </si>
  <si>
    <t>GSU-N200F</t>
    <phoneticPr fontId="2"/>
  </si>
  <si>
    <t>GFRA-N20F</t>
    <phoneticPr fontId="2"/>
  </si>
  <si>
    <t>GFRA-N40F</t>
    <phoneticPr fontId="2"/>
  </si>
  <si>
    <t>GFRA-N55F</t>
    <phoneticPr fontId="2"/>
  </si>
  <si>
    <t>GFRA-N70F</t>
    <phoneticPr fontId="2"/>
  </si>
  <si>
    <t>GFRA-N100F</t>
    <phoneticPr fontId="2"/>
  </si>
  <si>
    <t>GFRA-N150F</t>
    <phoneticPr fontId="2"/>
  </si>
  <si>
    <t>　床置型（薄型)</t>
    <rPh sb="1" eb="2">
      <t>ユカ</t>
    </rPh>
    <rPh sb="2" eb="3">
      <t>オ</t>
    </rPh>
    <rPh sb="3" eb="4">
      <t>ガタ</t>
    </rPh>
    <phoneticPr fontId="2"/>
  </si>
  <si>
    <t>　床置型(業務シンク専用)</t>
    <rPh sb="1" eb="2">
      <t>ユカ</t>
    </rPh>
    <rPh sb="2" eb="3">
      <t>オ</t>
    </rPh>
    <rPh sb="3" eb="4">
      <t>ガタ</t>
    </rPh>
    <phoneticPr fontId="2"/>
  </si>
  <si>
    <t>ステンレス製/床置型(業務シンク専用)</t>
    <phoneticPr fontId="2"/>
  </si>
  <si>
    <t>ステンレス製/床置型（薄型)</t>
    <phoneticPr fontId="2"/>
  </si>
  <si>
    <t>JIA-U-500T-HG</t>
    <phoneticPr fontId="2"/>
  </si>
  <si>
    <t>JIA-U-800T-HG</t>
    <phoneticPr fontId="2"/>
  </si>
  <si>
    <t>JIA-U-1000T-HG</t>
    <phoneticPr fontId="2"/>
  </si>
  <si>
    <t>JIA-I-500T-HG</t>
    <phoneticPr fontId="2"/>
  </si>
  <si>
    <t>JIA-I-800T-HG</t>
    <phoneticPr fontId="2"/>
  </si>
  <si>
    <t>JIA-I-1000T-HG</t>
    <phoneticPr fontId="2"/>
  </si>
  <si>
    <t>ＦＲＰ製/床置型（薄型)</t>
    <phoneticPr fontId="2"/>
  </si>
  <si>
    <t>　　値であり、最大750L/minです。</t>
  </si>
  <si>
    <t>　　（SHASE-S217 2008以降は製造者が申請した流量です。）</t>
    <rPh sb="18" eb="20">
      <t>イコウ</t>
    </rPh>
    <rPh sb="21" eb="24">
      <t>セイゾウシャ</t>
    </rPh>
    <rPh sb="25" eb="27">
      <t>シンセイ</t>
    </rPh>
    <rPh sb="29" eb="31">
      <t>リュウリョウ</t>
    </rPh>
    <phoneticPr fontId="2"/>
  </si>
  <si>
    <t>４．阻集グリース及び堆積残渣の質量は許容流入流量の31.5%を</t>
    <rPh sb="2" eb="3">
      <t>ソ</t>
    </rPh>
    <rPh sb="3" eb="4">
      <t>シュウ</t>
    </rPh>
    <rPh sb="8" eb="9">
      <t>オヨ</t>
    </rPh>
    <rPh sb="10" eb="12">
      <t>タイセキ</t>
    </rPh>
    <rPh sb="12" eb="14">
      <t>ザンサ</t>
    </rPh>
    <rPh sb="15" eb="17">
      <t>シツリョウ</t>
    </rPh>
    <rPh sb="18" eb="20">
      <t>キョヨウ</t>
    </rPh>
    <rPh sb="20" eb="22">
      <t>リュウニュウ</t>
    </rPh>
    <rPh sb="22" eb="24">
      <t>リュウリョウ</t>
    </rPh>
    <phoneticPr fontId="2"/>
  </si>
  <si>
    <t>　　小数点以下１桁に切り捨てた値です。</t>
    <rPh sb="2" eb="5">
      <t>ショウスウテン</t>
    </rPh>
    <rPh sb="5" eb="7">
      <t>イカ</t>
    </rPh>
    <rPh sb="8" eb="9">
      <t>ケタ</t>
    </rPh>
    <rPh sb="10" eb="11">
      <t>キ</t>
    </rPh>
    <rPh sb="12" eb="13">
      <t>ス</t>
    </rPh>
    <phoneticPr fontId="2"/>
  </si>
  <si>
    <t>　　（SHASE-S217 2016以降は許容流入流量の33.2％を小数点以下1桁に</t>
    <rPh sb="21" eb="23">
      <t>キョヨウ</t>
    </rPh>
    <rPh sb="23" eb="25">
      <t>リュウニュウ</t>
    </rPh>
    <rPh sb="25" eb="27">
      <t>リュウリョウ</t>
    </rPh>
    <rPh sb="34" eb="37">
      <t>ショウスウテン</t>
    </rPh>
    <rPh sb="37" eb="39">
      <t>イカ</t>
    </rPh>
    <rPh sb="40" eb="41">
      <t>ケタ</t>
    </rPh>
    <phoneticPr fontId="2"/>
  </si>
  <si>
    <t>　　切り捨てた値です。）</t>
  </si>
  <si>
    <t>　　「遮炎」は認定の有無を問わず、被覆材が巻いてある製品を指す。</t>
    <rPh sb="3" eb="4">
      <t>シャ</t>
    </rPh>
    <rPh sb="4" eb="5">
      <t>エン</t>
    </rPh>
    <rPh sb="13" eb="14">
      <t>ト</t>
    </rPh>
    <rPh sb="17" eb="19">
      <t>ヒフク</t>
    </rPh>
    <rPh sb="19" eb="20">
      <t>ザイ</t>
    </rPh>
    <rPh sb="21" eb="22">
      <t>マ</t>
    </rPh>
    <rPh sb="26" eb="28">
      <t>セイヒン</t>
    </rPh>
    <rPh sb="29" eb="30">
      <t>サ</t>
    </rPh>
    <phoneticPr fontId="2"/>
  </si>
  <si>
    <r>
      <t>カタログNo.</t>
    </r>
    <r>
      <rPr>
        <sz val="11"/>
        <rFont val="ＭＳ Ｐゴシック"/>
        <family val="3"/>
        <charset val="128"/>
      </rPr>
      <t xml:space="preserve"> </t>
    </r>
    <r>
      <rPr>
        <sz val="11"/>
        <rFont val="ＭＳ Ｐゴシック"/>
        <family val="3"/>
        <charset val="128"/>
      </rPr>
      <t>による。</t>
    </r>
    <phoneticPr fontId="2"/>
  </si>
  <si>
    <t>HGS-N30/45/60/80/100/130/160/200/250/285/375E,ET,PD,PS,Hを追加
FS3-N30/45/60/80/100/130/160/200/250/285/375E,ER,PS,PSRを追加
HGR-N30/45/60/70/100/120/150/200/240/270ET,Pを追加
GSU-N25/50/60/70/100/150/170/200JE,EA,JP,PA,Fを追加
GFRA-N20/40/55/70/100/150JE,EA,JP,PA,Fを追加
GRS-30Fを追加
JIAの型式変更、標準阻集グリース量の数値変更（定数：0.315→0.332）
GF3-20/50Fの標準阻集グリース量の数値変更（定数：0.315→0.332）
GF3-20/50G,F-2,G-Cを「認定品」に変更
Vシリーズをに消去
面積計算の補正回転数をSHASE規格表5の範囲は比例補正に変更
面積計算の「洋食」のguの数値変更（9.0→9.5）
面積計算に「学生食堂」を追加
食数計算に「学生食堂」「学校給食」を追加</t>
    <rPh sb="57" eb="59">
      <t>ツイカ</t>
    </rPh>
    <rPh sb="164" eb="166">
      <t>ツイカ</t>
    </rPh>
    <rPh sb="213" eb="215">
      <t>ツイカ</t>
    </rPh>
    <rPh sb="255" eb="257">
      <t>ツイカ</t>
    </rPh>
    <rPh sb="266" eb="268">
      <t>ツイカ</t>
    </rPh>
    <rPh sb="273" eb="275">
      <t>カタシキ</t>
    </rPh>
    <rPh sb="275" eb="277">
      <t>ヘンコウ</t>
    </rPh>
    <rPh sb="278" eb="280">
      <t>ヒョウジュン</t>
    </rPh>
    <rPh sb="280" eb="281">
      <t>ソ</t>
    </rPh>
    <rPh sb="281" eb="282">
      <t>シュウ</t>
    </rPh>
    <rPh sb="286" eb="287">
      <t>リョウ</t>
    </rPh>
    <rPh sb="288" eb="290">
      <t>スウチ</t>
    </rPh>
    <rPh sb="290" eb="292">
      <t>ヘンコウ</t>
    </rPh>
    <rPh sb="293" eb="295">
      <t>テイスウ</t>
    </rPh>
    <rPh sb="320" eb="322">
      <t>ヒョウジュン</t>
    </rPh>
    <rPh sb="322" eb="323">
      <t>ソ</t>
    </rPh>
    <rPh sb="323" eb="324">
      <t>シュウ</t>
    </rPh>
    <rPh sb="328" eb="329">
      <t>リョウ</t>
    </rPh>
    <rPh sb="330" eb="332">
      <t>スウチ</t>
    </rPh>
    <rPh sb="332" eb="334">
      <t>ヘンコウ</t>
    </rPh>
    <rPh sb="335" eb="337">
      <t>テイスウ</t>
    </rPh>
    <rPh sb="371" eb="373">
      <t>ニンテイ</t>
    </rPh>
    <rPh sb="373" eb="374">
      <t>ヒン</t>
    </rPh>
    <rPh sb="376" eb="378">
      <t>ヘンコウ</t>
    </rPh>
    <rPh sb="386" eb="388">
      <t>ショウキョ</t>
    </rPh>
    <rPh sb="389" eb="391">
      <t>メンセキ</t>
    </rPh>
    <rPh sb="391" eb="393">
      <t>ケイサン</t>
    </rPh>
    <rPh sb="394" eb="396">
      <t>ホセイ</t>
    </rPh>
    <rPh sb="396" eb="399">
      <t>カイテンスウ</t>
    </rPh>
    <rPh sb="405" eb="407">
      <t>キカク</t>
    </rPh>
    <rPh sb="407" eb="408">
      <t>ヒョウ</t>
    </rPh>
    <rPh sb="410" eb="412">
      <t>ハンイ</t>
    </rPh>
    <rPh sb="413" eb="415">
      <t>ヒレイ</t>
    </rPh>
    <rPh sb="415" eb="417">
      <t>ホセイ</t>
    </rPh>
    <rPh sb="418" eb="420">
      <t>ヘンコウ</t>
    </rPh>
    <rPh sb="421" eb="423">
      <t>メンセキ</t>
    </rPh>
    <rPh sb="423" eb="425">
      <t>ケイサン</t>
    </rPh>
    <rPh sb="427" eb="429">
      <t>ヨウショク</t>
    </rPh>
    <rPh sb="434" eb="436">
      <t>スウチ</t>
    </rPh>
    <rPh sb="436" eb="438">
      <t>ヘンコウ</t>
    </rPh>
    <rPh sb="448" eb="450">
      <t>メンセキ</t>
    </rPh>
    <rPh sb="450" eb="452">
      <t>ケイサン</t>
    </rPh>
    <rPh sb="454" eb="456">
      <t>ガクセイ</t>
    </rPh>
    <rPh sb="456" eb="458">
      <t>ショクドウ</t>
    </rPh>
    <rPh sb="460" eb="462">
      <t>ツイカ</t>
    </rPh>
    <rPh sb="463" eb="464">
      <t>ショク</t>
    </rPh>
    <rPh sb="464" eb="465">
      <t>スウ</t>
    </rPh>
    <rPh sb="465" eb="467">
      <t>ケイサン</t>
    </rPh>
    <rPh sb="469" eb="471">
      <t>ガクセイ</t>
    </rPh>
    <rPh sb="471" eb="473">
      <t>ショクドウ</t>
    </rPh>
    <rPh sb="475" eb="477">
      <t>ガッコウ</t>
    </rPh>
    <rPh sb="477" eb="479">
      <t>キュウショク</t>
    </rPh>
    <rPh sb="481" eb="483">
      <t>ツイカ</t>
    </rPh>
    <phoneticPr fontId="2"/>
  </si>
  <si>
    <t>店舗全面積に基づく選定 (SHASE-S217-2016)</t>
    <phoneticPr fontId="2"/>
  </si>
  <si>
    <t>利用人数に基づく選定 (SHASE-S217-2016)</t>
    <rPh sb="0" eb="2">
      <t>リヨウ</t>
    </rPh>
    <rPh sb="2" eb="4">
      <t>ニンズウ</t>
    </rPh>
    <phoneticPr fontId="2"/>
  </si>
  <si>
    <t>GFRA-N20JE／EA</t>
    <phoneticPr fontId="2"/>
  </si>
  <si>
    <t>GFRA-N40JE／EA</t>
    <phoneticPr fontId="2"/>
  </si>
  <si>
    <t>GFRA-N55JE／EA</t>
    <phoneticPr fontId="2"/>
  </si>
  <si>
    <t>GFRA-N70JE／EA</t>
    <phoneticPr fontId="2"/>
  </si>
  <si>
    <t>GFRA-N100JE／EA</t>
    <phoneticPr fontId="2"/>
  </si>
  <si>
    <t>GFRA-N150JE／EA</t>
    <phoneticPr fontId="2"/>
  </si>
  <si>
    <t>GSU-N25JE／EA</t>
    <phoneticPr fontId="2"/>
  </si>
  <si>
    <t>GSU-N50JE／EA</t>
    <phoneticPr fontId="2"/>
  </si>
  <si>
    <t>GSU-N60JE／EA</t>
    <phoneticPr fontId="2"/>
  </si>
  <si>
    <t>GSU-N70JE／EA</t>
    <phoneticPr fontId="2"/>
  </si>
  <si>
    <t>GSU-N150JE／EA</t>
    <phoneticPr fontId="2"/>
  </si>
  <si>
    <t>GSU-N170JE／EA</t>
    <phoneticPr fontId="2"/>
  </si>
  <si>
    <t>GSU-N200JE／EA</t>
    <phoneticPr fontId="2"/>
  </si>
  <si>
    <t>GSU-N25JP／PA</t>
    <phoneticPr fontId="2"/>
  </si>
  <si>
    <t>GSU-N50JP／PA</t>
    <phoneticPr fontId="2"/>
  </si>
  <si>
    <t>GSU-N60JP／PA</t>
    <phoneticPr fontId="2"/>
  </si>
  <si>
    <t>GSU-N70JP／PA</t>
    <phoneticPr fontId="2"/>
  </si>
  <si>
    <t>GSU-N100JP／PA</t>
    <phoneticPr fontId="2"/>
  </si>
  <si>
    <t>GSU-N150JP／PA</t>
    <phoneticPr fontId="2"/>
  </si>
  <si>
    <t>GSU-N170JP／PA</t>
    <phoneticPr fontId="2"/>
  </si>
  <si>
    <t>GSU-N200JP／PA</t>
    <phoneticPr fontId="2"/>
  </si>
  <si>
    <t>GFRA-N20JP／PA</t>
    <phoneticPr fontId="2"/>
  </si>
  <si>
    <t>GFRA-N40JP／PA</t>
    <phoneticPr fontId="2"/>
  </si>
  <si>
    <t>GFRA-N55JP／PA</t>
    <phoneticPr fontId="2"/>
  </si>
  <si>
    <t>GFRA-N70JP／PA</t>
    <phoneticPr fontId="2"/>
  </si>
  <si>
    <t>GFRA-N100JP／PA</t>
    <phoneticPr fontId="2"/>
  </si>
  <si>
    <t>GFRA-N150JP／PA</t>
    <phoneticPr fontId="2"/>
  </si>
  <si>
    <t>浅型GTの型式誤記を修正（JE→JE/EA、JP→JP/PA）</t>
    <rPh sb="0" eb="1">
      <t>アサ</t>
    </rPh>
    <rPh sb="1" eb="2">
      <t>ガタ</t>
    </rPh>
    <rPh sb="5" eb="7">
      <t>カタシキ</t>
    </rPh>
    <rPh sb="7" eb="9">
      <t>ゴキ</t>
    </rPh>
    <rPh sb="10" eb="12">
      <t>シュウセイ</t>
    </rPh>
    <phoneticPr fontId="2"/>
  </si>
  <si>
    <t>影久</t>
    <rPh sb="0" eb="1">
      <t>カゲ</t>
    </rPh>
    <rPh sb="1" eb="2">
      <t>ヒサ</t>
    </rPh>
    <phoneticPr fontId="2"/>
  </si>
  <si>
    <t>FS3-N30/45/60/80/100/130/160/200/250/285/375E,ERの型式名を
FS3-N30/45/60/80/100/130/160/200/250/285/375E,ERⅡに変更
HGR-N30P,ETの容量を65→31に変更
HGR-N45P,ETを認定有りに変更
HGR-N60ET,Pの型式名をHGR-N50ET,Pに変更,許容流入流量を60→50に変更,認定有りに変更
HGR-N120ET,Pの型式名をHGR-N130ET,Pに変更,許容流入流量を120→130に変更,認定有りに変更
HGR-N240ET,Pの型式名をHGR-N300ET,Pに変更,許容流入流量を240→300に変更,認定有りに変更
HGR-N270ET,Pの型式名をHGR-N340ET,Pに変更,許容流入流量を270→340に変更
HGR-N375ET,Pの型式名をHGR-N380ET,Pに変更,許容流入流量を375→380に変更,認定有りに変更
GF3-20F / G / F-C / G-Cの型式名をGF3-N13F / G / F-C / G-Cに変更
GF3-50F / G / F-C / G-Cの型式名をGF3-N33F / G / F-C / G-Cに変更</t>
    <rPh sb="458" eb="460">
      <t>カタシキ</t>
    </rPh>
    <rPh sb="460" eb="461">
      <t>メイ</t>
    </rPh>
    <rPh sb="487" eb="489">
      <t>ヘンコウ</t>
    </rPh>
    <phoneticPr fontId="2"/>
  </si>
  <si>
    <t>GF3-N13F / G / F-C / G-C</t>
    <phoneticPr fontId="2"/>
  </si>
  <si>
    <t>GF3-N33F / G / F-C / G-C</t>
    <phoneticPr fontId="2"/>
  </si>
  <si>
    <t>HGR-N30/45/50/100/130/300/380P,ETの性能満足欄を修正</t>
    <rPh sb="34" eb="36">
      <t>セイノウ</t>
    </rPh>
    <rPh sb="36" eb="38">
      <t>マンゾク</t>
    </rPh>
    <rPh sb="38" eb="39">
      <t>ラン</t>
    </rPh>
    <rPh sb="40" eb="42">
      <t>シュウセイ</t>
    </rPh>
    <phoneticPr fontId="2"/>
  </si>
  <si>
    <t>　</t>
  </si>
  <si>
    <t>GSU-N100JEⅡ／EAⅡ</t>
    <phoneticPr fontId="2"/>
  </si>
  <si>
    <t>RGR-N50～200Ｐを追加</t>
    <rPh sb="13" eb="15">
      <t>ツイカ</t>
    </rPh>
    <phoneticPr fontId="2"/>
  </si>
  <si>
    <t>HGR-380Pの標準阻集グリース量の値を修正</t>
    <rPh sb="9" eb="11">
      <t>ヒョウジュン</t>
    </rPh>
    <rPh sb="11" eb="12">
      <t>ソ</t>
    </rPh>
    <rPh sb="12" eb="13">
      <t>シュウ</t>
    </rPh>
    <rPh sb="17" eb="18">
      <t>リョウ</t>
    </rPh>
    <rPh sb="19" eb="20">
      <t>アタイ</t>
    </rPh>
    <rPh sb="21" eb="23">
      <t>シュウセイ</t>
    </rPh>
    <phoneticPr fontId="2"/>
  </si>
  <si>
    <t>HGR-N340P,ETを認定有りに変更</t>
    <rPh sb="13" eb="15">
      <t>ニンテイ</t>
    </rPh>
    <rPh sb="15" eb="16">
      <t>ア</t>
    </rPh>
    <rPh sb="18" eb="20">
      <t>ヘンコウ</t>
    </rPh>
    <phoneticPr fontId="2"/>
  </si>
  <si>
    <t>面積計算における補正回転数の値のセルをロックし、入力できないよう変更
据付方法のシンダー埋設型（浅型）をシンダー埋設型（超浅型）に変更</t>
    <rPh sb="35" eb="37">
      <t>スエツケ</t>
    </rPh>
    <rPh sb="37" eb="39">
      <t>ホウホウ</t>
    </rPh>
    <rPh sb="44" eb="46">
      <t>マイセツ</t>
    </rPh>
    <rPh sb="46" eb="47">
      <t>カタ</t>
    </rPh>
    <rPh sb="48" eb="49">
      <t>アサ</t>
    </rPh>
    <rPh sb="49" eb="50">
      <t>カタ</t>
    </rPh>
    <rPh sb="56" eb="58">
      <t>マイセツ</t>
    </rPh>
    <rPh sb="58" eb="59">
      <t>カタ</t>
    </rPh>
    <rPh sb="60" eb="61">
      <t>チョウ</t>
    </rPh>
    <rPh sb="61" eb="62">
      <t>アサ</t>
    </rPh>
    <rPh sb="62" eb="63">
      <t>カタ</t>
    </rPh>
    <rPh sb="65" eb="67">
      <t>ヘンコウ</t>
    </rPh>
    <phoneticPr fontId="2"/>
  </si>
  <si>
    <t>ＦＲＰ製/パイプ導入式/シンダー埋設型（超浅型)</t>
    <rPh sb="8" eb="10">
      <t>ドウニュウ</t>
    </rPh>
    <rPh sb="10" eb="11">
      <t>シキ</t>
    </rPh>
    <rPh sb="20" eb="21">
      <t>チョウ</t>
    </rPh>
    <phoneticPr fontId="2"/>
  </si>
  <si>
    <t>ＦＲＰ製/側溝導入式/シンダー埋設型（超浅型)</t>
    <rPh sb="5" eb="10">
      <t>ソ</t>
    </rPh>
    <rPh sb="19" eb="20">
      <t>チョウ</t>
    </rPh>
    <phoneticPr fontId="2"/>
  </si>
  <si>
    <t>ステンレス製/パイプ導入式/シンダー埋設型（超浅型)</t>
    <rPh sb="10" eb="12">
      <t>ドウニュウ</t>
    </rPh>
    <rPh sb="12" eb="13">
      <t>シキ</t>
    </rPh>
    <rPh sb="22" eb="23">
      <t>チョウ</t>
    </rPh>
    <phoneticPr fontId="2"/>
  </si>
  <si>
    <t>ステンレス製/側溝導入式/シンダー埋設型（超浅型)</t>
    <rPh sb="7" eb="12">
      <t>ソ</t>
    </rPh>
    <rPh sb="21" eb="22">
      <t>チョウ</t>
    </rPh>
    <phoneticPr fontId="2"/>
  </si>
  <si>
    <t>条件入力の超浅型で「超」が抜けていた為修正</t>
    <rPh sb="0" eb="2">
      <t>ジョウケン</t>
    </rPh>
    <rPh sb="2" eb="4">
      <t>ニュウリョク</t>
    </rPh>
    <rPh sb="5" eb="6">
      <t>チョウ</t>
    </rPh>
    <rPh sb="6" eb="7">
      <t>アサ</t>
    </rPh>
    <rPh sb="7" eb="8">
      <t>カタ</t>
    </rPh>
    <rPh sb="10" eb="11">
      <t>チョウ</t>
    </rPh>
    <rPh sb="13" eb="14">
      <t>ヌ</t>
    </rPh>
    <rPh sb="18" eb="19">
      <t>タメ</t>
    </rPh>
    <rPh sb="19" eb="21">
      <t>シュウセイ</t>
    </rPh>
    <phoneticPr fontId="2"/>
  </si>
  <si>
    <t>HGS-NX50E</t>
    <phoneticPr fontId="2"/>
  </si>
  <si>
    <t>HGS-NX70E</t>
    <phoneticPr fontId="2"/>
  </si>
  <si>
    <t>HGS-NX120E</t>
    <phoneticPr fontId="2"/>
  </si>
  <si>
    <t>HGS-NX150E</t>
    <phoneticPr fontId="2"/>
  </si>
  <si>
    <t>HGS-NX200E</t>
    <phoneticPr fontId="2"/>
  </si>
  <si>
    <t>HGS-NX250E</t>
    <phoneticPr fontId="2"/>
  </si>
  <si>
    <t>HGS-NX300E</t>
    <phoneticPr fontId="2"/>
  </si>
  <si>
    <t>HGS-NX400E</t>
    <phoneticPr fontId="2"/>
  </si>
  <si>
    <t>HGS-NX50ET</t>
    <phoneticPr fontId="2"/>
  </si>
  <si>
    <t>HGS-NX70ET</t>
    <phoneticPr fontId="2"/>
  </si>
  <si>
    <t>HGS-NX120ET</t>
    <phoneticPr fontId="2"/>
  </si>
  <si>
    <t>HGS-NX150ET</t>
    <phoneticPr fontId="2"/>
  </si>
  <si>
    <t>HGS-NX200ET</t>
    <phoneticPr fontId="2"/>
  </si>
  <si>
    <t>HGS-NX250ET</t>
    <phoneticPr fontId="2"/>
  </si>
  <si>
    <t>HGS-NX300ET</t>
    <phoneticPr fontId="2"/>
  </si>
  <si>
    <t>HGS-NX400ET</t>
    <phoneticPr fontId="2"/>
  </si>
  <si>
    <t>HGS-NX50PD</t>
    <phoneticPr fontId="2"/>
  </si>
  <si>
    <t>HGS-NX70PD</t>
    <phoneticPr fontId="2"/>
  </si>
  <si>
    <t>HGS-NX120PD</t>
    <phoneticPr fontId="2"/>
  </si>
  <si>
    <t>HGS-NX150PD</t>
    <phoneticPr fontId="2"/>
  </si>
  <si>
    <t>HGS-NX200PD</t>
    <phoneticPr fontId="2"/>
  </si>
  <si>
    <t>HGS-NX250PD</t>
    <phoneticPr fontId="2"/>
  </si>
  <si>
    <t>HGS-NX300PD</t>
    <phoneticPr fontId="2"/>
  </si>
  <si>
    <t>HGS-NX400PD</t>
    <phoneticPr fontId="2"/>
  </si>
  <si>
    <t>HGS-NX50PS</t>
    <phoneticPr fontId="2"/>
  </si>
  <si>
    <t>HGS-NX70PS</t>
    <phoneticPr fontId="2"/>
  </si>
  <si>
    <t>HGS-NX120PS</t>
    <phoneticPr fontId="2"/>
  </si>
  <si>
    <t>HGS-NX150PS</t>
    <phoneticPr fontId="2"/>
  </si>
  <si>
    <t>HGS-NX200PS</t>
    <phoneticPr fontId="2"/>
  </si>
  <si>
    <t>HGS-NX250PS</t>
    <phoneticPr fontId="2"/>
  </si>
  <si>
    <t>HGS-NX300PS</t>
    <phoneticPr fontId="2"/>
  </si>
  <si>
    <t>HGS-NX400PS</t>
    <phoneticPr fontId="2"/>
  </si>
  <si>
    <t>FS3-NX50E/ER</t>
    <phoneticPr fontId="2"/>
  </si>
  <si>
    <t>FS3-NX70E/ER</t>
    <phoneticPr fontId="2"/>
  </si>
  <si>
    <t>FS3-NX120E/ER</t>
    <phoneticPr fontId="2"/>
  </si>
  <si>
    <t>FS3-NX150E/ER</t>
    <phoneticPr fontId="2"/>
  </si>
  <si>
    <t>FS3-NX200E/ER</t>
    <phoneticPr fontId="2"/>
  </si>
  <si>
    <t>FS3-NX250E/ER</t>
    <phoneticPr fontId="2"/>
  </si>
  <si>
    <t>FS3-NX300E/ER</t>
    <phoneticPr fontId="2"/>
  </si>
  <si>
    <t>FS3-NX400E/ER</t>
    <phoneticPr fontId="2"/>
  </si>
  <si>
    <t>FS3-NX50PS/PSR</t>
    <phoneticPr fontId="2"/>
  </si>
  <si>
    <t>FS3-NX70PS/PSR</t>
    <phoneticPr fontId="2"/>
  </si>
  <si>
    <t>FS3-NX120PS/PSR</t>
    <phoneticPr fontId="2"/>
  </si>
  <si>
    <t>FS3-NX150PS/PSR</t>
    <phoneticPr fontId="2"/>
  </si>
  <si>
    <t>FS3-NX200PS/PSR</t>
    <phoneticPr fontId="2"/>
  </si>
  <si>
    <t>FS3-NX250PS/PSR</t>
    <phoneticPr fontId="2"/>
  </si>
  <si>
    <t>FS3-NX300PS/PSR</t>
    <phoneticPr fontId="2"/>
  </si>
  <si>
    <t>FS3-NX400PS/PSR</t>
    <phoneticPr fontId="2"/>
  </si>
  <si>
    <t>HGS-NX50H</t>
    <phoneticPr fontId="2"/>
  </si>
  <si>
    <t>HGS-NX70H</t>
    <phoneticPr fontId="2"/>
  </si>
  <si>
    <t>HGS-NX120H</t>
    <phoneticPr fontId="2"/>
  </si>
  <si>
    <t>HGS-NX150H</t>
    <phoneticPr fontId="2"/>
  </si>
  <si>
    <t>HGS-NX200H</t>
    <phoneticPr fontId="2"/>
  </si>
  <si>
    <t>HGS-NX250H</t>
    <phoneticPr fontId="2"/>
  </si>
  <si>
    <t>HGS-NX300H</t>
    <phoneticPr fontId="2"/>
  </si>
  <si>
    <t>HGS-NX400H</t>
    <phoneticPr fontId="2"/>
  </si>
  <si>
    <t>HGR-NX70ET</t>
    <phoneticPr fontId="2"/>
  </si>
  <si>
    <t>HGR-NX120ET</t>
    <phoneticPr fontId="2"/>
  </si>
  <si>
    <t>HGR-NX150ET</t>
    <phoneticPr fontId="2"/>
  </si>
  <si>
    <t>HGR-NX200ET</t>
    <phoneticPr fontId="2"/>
  </si>
  <si>
    <t>HGR-NX250ET</t>
    <phoneticPr fontId="2"/>
  </si>
  <si>
    <t>HGR-NX300ET</t>
    <phoneticPr fontId="2"/>
  </si>
  <si>
    <t>HGR-NX400ET</t>
    <phoneticPr fontId="2"/>
  </si>
  <si>
    <t>HGR-NX70P / RGR-NX70P</t>
    <phoneticPr fontId="2"/>
  </si>
  <si>
    <t>HGR-NX120P / RGR-NX120P</t>
    <phoneticPr fontId="2"/>
  </si>
  <si>
    <t>HGR-NX150P / RGR-NX150P</t>
    <phoneticPr fontId="2"/>
  </si>
  <si>
    <t>HGR-NX200P / RGR-NX200P</t>
    <phoneticPr fontId="2"/>
  </si>
  <si>
    <t>HGR-NX250P / RGR-NX250P</t>
    <phoneticPr fontId="2"/>
  </si>
  <si>
    <t>HGR-NX300P / RGR-NX300P</t>
    <phoneticPr fontId="2"/>
  </si>
  <si>
    <t>HGR-NX400P</t>
    <phoneticPr fontId="2"/>
  </si>
  <si>
    <t>GF2-7KⅡ</t>
    <phoneticPr fontId="2"/>
  </si>
  <si>
    <r>
      <t>GF3-35K</t>
    </r>
    <r>
      <rPr>
        <sz val="11"/>
        <rFont val="ＭＳ Ｐゴシック"/>
        <family val="3"/>
        <charset val="128"/>
      </rPr>
      <t xml:space="preserve"> / G</t>
    </r>
    <phoneticPr fontId="2"/>
  </si>
  <si>
    <t>HGR-NX70/120/150/200/250/300/400ET,Pを追加
RGR-NX70/120/150/200/250/300Pを追加
GF2-7KⅡを追加
HGR-N45/50/70/100/130/150/200/300/340/380ET,Pを削除
RGR-N50/70/100/130/150/200Pを削除</t>
    <rPh sb="81" eb="83">
      <t>ツイカ</t>
    </rPh>
    <rPh sb="130" eb="132">
      <t>サクジョ</t>
    </rPh>
    <phoneticPr fontId="2"/>
  </si>
  <si>
    <t>HGS-NX50/70/120/150/200/250/300/400E,ET,PD,PS,Hを追加
FS3-NX50/70/120/150/200/250/300/400E,ER,PS,PSRを追加</t>
    <phoneticPr fontId="2"/>
  </si>
  <si>
    <t>HGR-NX50ET</t>
    <phoneticPr fontId="2"/>
  </si>
  <si>
    <t>HGR-NX50P</t>
    <phoneticPr fontId="2"/>
  </si>
  <si>
    <t>HGS-NX50/70/200E,ET,PD,PS,Hを認定有りに変更
FS3-NX50/70/200E,ER,PS,PSRを認定有りに変更
HGR-NX50P,ETを追加
HGS-N-E,ET,PD,PS,H　FS3-N-E,ER,PS,PSR　HGR-N30P、HGR-N30ETを削除</t>
    <rPh sb="28" eb="30">
      <t>ニンテイ</t>
    </rPh>
    <rPh sb="30" eb="31">
      <t>ア</t>
    </rPh>
    <rPh sb="33" eb="35">
      <t>ヘンコウ</t>
    </rPh>
    <rPh sb="63" eb="65">
      <t>ニンテイ</t>
    </rPh>
    <rPh sb="65" eb="66">
      <t>ア</t>
    </rPh>
    <rPh sb="68" eb="70">
      <t>ヘンコウ</t>
    </rPh>
    <rPh sb="84" eb="86">
      <t>ツイカ</t>
    </rPh>
    <rPh sb="143" eb="145">
      <t>サクジョ</t>
    </rPh>
    <phoneticPr fontId="2"/>
  </si>
  <si>
    <t>ステンレス製/床置型(グリース回収機構付)</t>
    <rPh sb="15" eb="19">
      <t>カイシュウキコウ</t>
    </rPh>
    <rPh sb="19" eb="20">
      <t>ツ</t>
    </rPh>
    <phoneticPr fontId="2"/>
  </si>
  <si>
    <t>　床置型(グリース回収機構付)</t>
    <rPh sb="1" eb="2">
      <t>ユカ</t>
    </rPh>
    <rPh sb="2" eb="3">
      <t>オ</t>
    </rPh>
    <rPh sb="3" eb="4">
      <t>ガタ</t>
    </rPh>
    <rPh sb="9" eb="14">
      <t>カイシュウキコウツ</t>
    </rPh>
    <phoneticPr fontId="2"/>
  </si>
  <si>
    <t>伊藤</t>
    <rPh sb="0" eb="2">
      <t>イトウ</t>
    </rPh>
    <phoneticPr fontId="2"/>
  </si>
  <si>
    <t>GS3-N15F</t>
    <phoneticPr fontId="2"/>
  </si>
  <si>
    <t>GS3-N30F</t>
    <phoneticPr fontId="2"/>
  </si>
  <si>
    <t>GS3-NX15H</t>
    <phoneticPr fontId="2"/>
  </si>
  <si>
    <t>GS3-NX30H</t>
    <phoneticPr fontId="2"/>
  </si>
  <si>
    <t>　床置型(グリース回収機構付)</t>
    <rPh sb="1" eb="3">
      <t>ユカオ</t>
    </rPh>
    <rPh sb="3" eb="4">
      <t>カタ</t>
    </rPh>
    <rPh sb="9" eb="14">
      <t>カイシュウキコウツ</t>
    </rPh>
    <phoneticPr fontId="2"/>
  </si>
  <si>
    <t>GS3-N15/30F、GS3-NX15/30Hを追加</t>
    <phoneticPr fontId="2"/>
  </si>
  <si>
    <t>阻集器一覧表の検索範囲にGS3-N15/30F、GS3-NX15/30Hが入るように訂正</t>
    <rPh sb="0" eb="6">
      <t>ソシュウキイチランヒョウ</t>
    </rPh>
    <rPh sb="7" eb="11">
      <t>ケンサクハンイ</t>
    </rPh>
    <rPh sb="37" eb="38">
      <t>ハイ</t>
    </rPh>
    <rPh sb="42" eb="44">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</si>
</sst>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_);[Red]\(0\)"/>
    <numFmt numFmtId="179" formatCode="0.000_ "/>
    <numFmt numFmtId="180" formatCode="&quot;作成：&quot;\ yyyy&quot;年&quot;m&quot;月&quot;d&quot;日&quot;"/>
    <numFmt numFmtId="181" formatCode="0.0_);[Red]\(0.0\)"/>
    <numFmt numFmtId="182"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vertAlign val="superscript"/>
      <sz val="11"/>
      <name val="ＭＳ Ｐゴシック"/>
      <family val="3"/>
      <charset val="128"/>
    </font>
    <font>
      <sz val="11"/>
      <color indexed="10"/>
      <name val="ＭＳ Ｐゴシック"/>
      <family val="3"/>
      <charset val="128"/>
    </font>
    <font>
      <sz val="10"/>
      <name val="ＭＳ Ｐゴシック"/>
      <family val="3"/>
      <charset val="128"/>
    </font>
    <font>
      <vertAlign val="subscript"/>
      <sz val="11"/>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b/>
      <sz val="16"/>
      <name val="ＭＳ Ｐゴシック"/>
      <family val="3"/>
      <charset val="128"/>
    </font>
    <font>
      <sz val="8"/>
      <name val="ＭＳ Ｐゴシック"/>
      <family val="3"/>
      <charset val="128"/>
    </font>
    <font>
      <sz val="11"/>
      <color indexed="41"/>
      <name val="ＭＳ Ｐゴシック"/>
      <family val="3"/>
      <charset val="128"/>
    </font>
    <font>
      <b/>
      <sz val="11"/>
      <color indexed="10"/>
      <name val="ＭＳ Ｐゴシック"/>
      <family val="3"/>
      <charset val="128"/>
    </font>
    <font>
      <sz val="11"/>
      <color indexed="8"/>
      <name val="ＭＳ Ｐゴシック"/>
      <family val="3"/>
      <charset val="128"/>
    </font>
    <font>
      <sz val="11"/>
      <color rgb="FFFF0000"/>
      <name val="ＭＳ Ｐゴシック"/>
      <family val="3"/>
      <charset val="128"/>
    </font>
    <font>
      <sz val="11"/>
      <color rgb="FF0000FF"/>
      <name val="ＭＳ Ｐゴシック"/>
      <family val="3"/>
      <charset val="128"/>
    </font>
    <font>
      <sz val="10"/>
      <color rgb="FFFF0000"/>
      <name val="ＭＳ Ｐゴシック"/>
      <family val="3"/>
      <charset val="128"/>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indexed="45"/>
        <bgColor indexed="64"/>
      </patternFill>
    </fill>
    <fill>
      <patternFill patternType="solid">
        <fgColor rgb="FFFFFF99"/>
        <bgColor indexed="64"/>
      </patternFill>
    </fill>
    <fill>
      <patternFill patternType="solid">
        <fgColor rgb="FF99CCFF"/>
        <bgColor indexed="64"/>
      </patternFill>
    </fill>
    <fill>
      <patternFill patternType="solid">
        <fgColor rgb="FFCC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xf numFmtId="0" fontId="1" fillId="0" borderId="0"/>
  </cellStyleXfs>
  <cellXfs count="288">
    <xf numFmtId="0" fontId="0" fillId="0" borderId="0" xfId="0"/>
    <xf numFmtId="0" fontId="0" fillId="0" borderId="0" xfId="0" applyAlignment="1">
      <alignment horizontal="left"/>
    </xf>
    <xf numFmtId="0" fontId="0" fillId="0" borderId="1" xfId="0" applyBorder="1" applyAlignment="1">
      <alignment horizontal="center"/>
    </xf>
    <xf numFmtId="0" fontId="0" fillId="0" borderId="1" xfId="0" applyBorder="1"/>
    <xf numFmtId="176" fontId="0" fillId="0" borderId="1" xfId="0" applyNumberFormat="1" applyBorder="1"/>
    <xf numFmtId="0" fontId="0" fillId="2" borderId="1" xfId="0" applyFill="1" applyBorder="1"/>
    <xf numFmtId="176" fontId="0" fillId="0" borderId="1" xfId="0" applyNumberFormat="1" applyBorder="1" applyAlignment="1">
      <alignment horizontal="center"/>
    </xf>
    <xf numFmtId="0" fontId="0" fillId="0" borderId="0" xfId="0" applyAlignment="1">
      <alignment horizontal="center"/>
    </xf>
    <xf numFmtId="178" fontId="0" fillId="0" borderId="0" xfId="0" applyNumberFormat="1"/>
    <xf numFmtId="176" fontId="0" fillId="0" borderId="0" xfId="0" applyNumberFormat="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xf numFmtId="0" fontId="0" fillId="3" borderId="1" xfId="0" applyFill="1" applyBorder="1"/>
    <xf numFmtId="0" fontId="0" fillId="4" borderId="0" xfId="0" applyFill="1" applyAlignment="1">
      <alignment horizontal="left"/>
    </xf>
    <xf numFmtId="0" fontId="0" fillId="4" borderId="0" xfId="0" applyFill="1"/>
    <xf numFmtId="0" fontId="0" fillId="0" borderId="6" xfId="0" applyBorder="1"/>
    <xf numFmtId="0" fontId="0" fillId="5" borderId="0" xfId="0" applyFill="1"/>
    <xf numFmtId="0" fontId="0" fillId="6" borderId="0" xfId="0" applyFill="1"/>
    <xf numFmtId="0" fontId="7" fillId="4" borderId="0" xfId="0" applyFont="1" applyFill="1"/>
    <xf numFmtId="0" fontId="0" fillId="0" borderId="7" xfId="0" applyBorder="1"/>
    <xf numFmtId="0" fontId="0" fillId="0" borderId="8" xfId="0" applyBorder="1"/>
    <xf numFmtId="0" fontId="0" fillId="0" borderId="9" xfId="0" applyBorder="1"/>
    <xf numFmtId="177" fontId="0" fillId="0" borderId="8" xfId="0" applyNumberFormat="1" applyBorder="1"/>
    <xf numFmtId="176" fontId="0" fillId="0" borderId="8" xfId="0" applyNumberFormat="1" applyBorder="1"/>
    <xf numFmtId="179" fontId="0" fillId="0" borderId="8" xfId="0" applyNumberFormat="1" applyBorder="1"/>
    <xf numFmtId="0" fontId="0" fillId="0" borderId="7" xfId="0" applyBorder="1" applyAlignment="1">
      <alignment horizontal="left"/>
    </xf>
    <xf numFmtId="0" fontId="0" fillId="0" borderId="8" xfId="0" applyBorder="1" applyAlignment="1">
      <alignment horizontal="left"/>
    </xf>
    <xf numFmtId="0" fontId="0" fillId="0" borderId="0" xfId="0" applyAlignment="1">
      <alignment horizontal="right"/>
    </xf>
    <xf numFmtId="0" fontId="9" fillId="0" borderId="10" xfId="0" applyFont="1" applyBorder="1"/>
    <xf numFmtId="0" fontId="9" fillId="0" borderId="0" xfId="0" applyFont="1" applyAlignment="1">
      <alignment horizontal="right"/>
    </xf>
    <xf numFmtId="0" fontId="9" fillId="0" borderId="0" xfId="0" applyFont="1" applyAlignment="1">
      <alignment horizontal="left"/>
    </xf>
    <xf numFmtId="0" fontId="0" fillId="0" borderId="11" xfId="0" applyBorder="1"/>
    <xf numFmtId="176" fontId="9" fillId="0" borderId="10" xfId="0" applyNumberFormat="1" applyFont="1" applyBorder="1"/>
    <xf numFmtId="177" fontId="0" fillId="0" borderId="1" xfId="0" applyNumberFormat="1" applyBorder="1"/>
    <xf numFmtId="176" fontId="0" fillId="0" borderId="0" xfId="0" applyNumberFormat="1"/>
    <xf numFmtId="177" fontId="0" fillId="6" borderId="8" xfId="0" applyNumberFormat="1" applyFill="1" applyBorder="1" applyProtection="1">
      <protection locked="0"/>
    </xf>
    <xf numFmtId="0" fontId="1" fillId="6" borderId="1" xfId="0" applyFont="1" applyFill="1" applyBorder="1" applyAlignment="1">
      <alignment vertical="top"/>
    </xf>
    <xf numFmtId="0" fontId="5" fillId="0" borderId="0" xfId="2" applyFont="1" applyAlignment="1">
      <alignment horizontal="center"/>
    </xf>
    <xf numFmtId="0" fontId="5" fillId="0" borderId="0" xfId="3" applyFont="1"/>
    <xf numFmtId="176" fontId="4" fillId="0" borderId="0" xfId="0" applyNumberFormat="1" applyFont="1"/>
    <xf numFmtId="0" fontId="1" fillId="0" borderId="0" xfId="3"/>
    <xf numFmtId="0" fontId="0" fillId="0" borderId="0" xfId="0" applyAlignment="1">
      <alignment vertical="top"/>
    </xf>
    <xf numFmtId="0" fontId="1" fillId="0" borderId="0" xfId="0" applyFont="1" applyAlignment="1">
      <alignment vertical="top"/>
    </xf>
    <xf numFmtId="177" fontId="0" fillId="0" borderId="0" xfId="1" applyNumberFormat="1" applyFont="1" applyAlignment="1" applyProtection="1">
      <alignment vertical="top"/>
    </xf>
    <xf numFmtId="0" fontId="0" fillId="0" borderId="0" xfId="0" applyAlignment="1">
      <alignment horizontal="center" vertical="top" shrinkToFit="1"/>
    </xf>
    <xf numFmtId="0" fontId="0" fillId="7" borderId="12" xfId="0" applyFill="1" applyBorder="1" applyAlignment="1">
      <alignment vertical="top"/>
    </xf>
    <xf numFmtId="0" fontId="10" fillId="7" borderId="12" xfId="0" applyFont="1" applyFill="1" applyBorder="1" applyAlignment="1">
      <alignment vertical="top"/>
    </xf>
    <xf numFmtId="177" fontId="0" fillId="7" borderId="12" xfId="1" applyNumberFormat="1" applyFont="1" applyFill="1" applyBorder="1" applyAlignment="1" applyProtection="1">
      <alignment vertical="top"/>
    </xf>
    <xf numFmtId="0" fontId="0" fillId="7" borderId="11" xfId="0" applyFill="1" applyBorder="1" applyAlignment="1">
      <alignment vertical="top"/>
    </xf>
    <xf numFmtId="0" fontId="10" fillId="7" borderId="11" xfId="0" applyFont="1" applyFill="1" applyBorder="1" applyAlignment="1">
      <alignment vertical="top"/>
    </xf>
    <xf numFmtId="177" fontId="10" fillId="7" borderId="13" xfId="1" applyNumberFormat="1" applyFont="1" applyFill="1" applyBorder="1" applyAlignment="1" applyProtection="1">
      <alignment vertical="top"/>
    </xf>
    <xf numFmtId="0" fontId="10" fillId="5" borderId="12" xfId="0" applyFont="1" applyFill="1" applyBorder="1" applyAlignment="1">
      <alignment vertical="top"/>
    </xf>
    <xf numFmtId="0" fontId="0" fillId="5" borderId="11" xfId="0" applyFill="1" applyBorder="1" applyAlignment="1">
      <alignment vertical="top"/>
    </xf>
    <xf numFmtId="0" fontId="10" fillId="5" borderId="11" xfId="0" applyFont="1" applyFill="1" applyBorder="1" applyAlignment="1">
      <alignment vertical="top"/>
    </xf>
    <xf numFmtId="177" fontId="10" fillId="5" borderId="11" xfId="1" applyNumberFormat="1" applyFont="1" applyFill="1" applyBorder="1" applyAlignment="1" applyProtection="1">
      <alignment vertical="top"/>
    </xf>
    <xf numFmtId="0" fontId="0" fillId="7" borderId="6" xfId="0" applyFill="1" applyBorder="1" applyAlignment="1">
      <alignment vertical="top"/>
    </xf>
    <xf numFmtId="0" fontId="0" fillId="7" borderId="0" xfId="0" applyFill="1" applyAlignment="1">
      <alignment vertical="top"/>
    </xf>
    <xf numFmtId="177" fontId="0" fillId="7" borderId="14" xfId="0" applyNumberFormat="1" applyFill="1" applyBorder="1" applyAlignment="1">
      <alignment vertical="top"/>
    </xf>
    <xf numFmtId="0" fontId="0" fillId="0" borderId="14" xfId="0" applyBorder="1" applyAlignment="1">
      <alignment vertical="top"/>
    </xf>
    <xf numFmtId="0" fontId="1" fillId="6" borderId="4" xfId="0" applyFont="1" applyFill="1" applyBorder="1" applyAlignment="1">
      <alignment vertical="top"/>
    </xf>
    <xf numFmtId="0" fontId="0" fillId="5" borderId="6" xfId="0" applyFill="1" applyBorder="1" applyAlignment="1">
      <alignment vertical="top"/>
    </xf>
    <xf numFmtId="0" fontId="0" fillId="5" borderId="0" xfId="0" applyFill="1" applyAlignment="1">
      <alignment vertical="top"/>
    </xf>
    <xf numFmtId="177" fontId="0" fillId="5" borderId="0" xfId="1" applyNumberFormat="1" applyFont="1" applyFill="1" applyBorder="1" applyAlignment="1" applyProtection="1">
      <alignment vertical="top"/>
    </xf>
    <xf numFmtId="177" fontId="0" fillId="7" borderId="14" xfId="1" applyNumberFormat="1" applyFont="1" applyFill="1" applyBorder="1" applyAlignment="1" applyProtection="1">
      <alignment vertical="top"/>
    </xf>
    <xf numFmtId="0" fontId="0" fillId="0" borderId="10" xfId="0" applyBorder="1" applyAlignment="1">
      <alignment vertical="top"/>
    </xf>
    <xf numFmtId="0" fontId="0" fillId="5" borderId="15" xfId="0" applyFill="1" applyBorder="1" applyAlignment="1">
      <alignment vertical="top"/>
    </xf>
    <xf numFmtId="0" fontId="0" fillId="5" borderId="10" xfId="0" applyFill="1" applyBorder="1" applyAlignment="1">
      <alignment vertical="top"/>
    </xf>
    <xf numFmtId="177" fontId="0" fillId="5" borderId="10" xfId="1" applyNumberFormat="1" applyFont="1" applyFill="1" applyBorder="1" applyAlignment="1" applyProtection="1">
      <alignment vertical="top"/>
    </xf>
    <xf numFmtId="0" fontId="0" fillId="7" borderId="15" xfId="0" applyFill="1" applyBorder="1" applyAlignment="1">
      <alignment vertical="top"/>
    </xf>
    <xf numFmtId="0" fontId="0" fillId="7" borderId="10" xfId="0" applyFill="1" applyBorder="1" applyAlignment="1">
      <alignment vertical="top"/>
    </xf>
    <xf numFmtId="177" fontId="0" fillId="7" borderId="16" xfId="1" applyNumberFormat="1" applyFont="1" applyFill="1" applyBorder="1" applyAlignment="1" applyProtection="1">
      <alignment vertical="top"/>
    </xf>
    <xf numFmtId="0" fontId="1"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shrinkToFit="1"/>
    </xf>
    <xf numFmtId="0" fontId="0" fillId="0" borderId="1" xfId="0" applyBorder="1" applyAlignment="1">
      <alignment horizontal="center" vertical="top" shrinkToFit="1"/>
    </xf>
    <xf numFmtId="0" fontId="0" fillId="5" borderId="1" xfId="0" applyFill="1" applyBorder="1" applyAlignment="1">
      <alignment horizontal="center" vertical="top" wrapText="1" shrinkToFit="1"/>
    </xf>
    <xf numFmtId="0" fontId="0" fillId="5" borderId="1" xfId="0" applyFill="1" applyBorder="1" applyAlignment="1">
      <alignment vertical="top" wrapText="1"/>
    </xf>
    <xf numFmtId="177" fontId="0" fillId="5" borderId="1" xfId="1" applyNumberFormat="1" applyFont="1" applyFill="1" applyBorder="1" applyAlignment="1" applyProtection="1">
      <alignment vertical="top" wrapText="1"/>
    </xf>
    <xf numFmtId="0" fontId="0" fillId="7" borderId="1" xfId="0" applyFill="1" applyBorder="1" applyAlignment="1">
      <alignment horizontal="center" vertical="top" wrapText="1" shrinkToFit="1"/>
    </xf>
    <xf numFmtId="0" fontId="0" fillId="7" borderId="1" xfId="0" applyFill="1" applyBorder="1" applyAlignment="1">
      <alignment vertical="top" wrapText="1"/>
    </xf>
    <xf numFmtId="177" fontId="0" fillId="7" borderId="1" xfId="1" applyNumberFormat="1" applyFont="1" applyFill="1" applyBorder="1" applyAlignment="1" applyProtection="1">
      <alignment vertical="top" wrapText="1"/>
    </xf>
    <xf numFmtId="0" fontId="0" fillId="6" borderId="1" xfId="0" applyFill="1" applyBorder="1" applyAlignment="1">
      <alignment vertical="top"/>
    </xf>
    <xf numFmtId="0" fontId="10" fillId="6" borderId="1" xfId="0" applyFont="1" applyFill="1" applyBorder="1" applyAlignment="1">
      <alignment vertical="top"/>
    </xf>
    <xf numFmtId="0" fontId="0" fillId="6" borderId="1" xfId="0" applyFill="1" applyBorder="1" applyAlignment="1">
      <alignment horizontal="center" vertical="top"/>
    </xf>
    <xf numFmtId="0" fontId="10" fillId="5" borderId="1" xfId="0" applyFont="1" applyFill="1" applyBorder="1" applyAlignment="1">
      <alignment vertical="top"/>
    </xf>
    <xf numFmtId="177" fontId="10" fillId="5" borderId="1" xfId="1" applyNumberFormat="1" applyFont="1" applyFill="1" applyBorder="1" applyAlignment="1" applyProtection="1">
      <alignment vertical="top"/>
    </xf>
    <xf numFmtId="0" fontId="10" fillId="7" borderId="1" xfId="0" applyFont="1" applyFill="1" applyBorder="1" applyAlignment="1">
      <alignment vertical="top"/>
    </xf>
    <xf numFmtId="177" fontId="10" fillId="7" borderId="1" xfId="1" applyNumberFormat="1" applyFont="1" applyFill="1" applyBorder="1" applyAlignment="1" applyProtection="1">
      <alignment vertical="top"/>
    </xf>
    <xf numFmtId="0" fontId="0" fillId="4" borderId="1" xfId="0" applyFill="1" applyBorder="1" applyAlignment="1">
      <alignment vertical="top"/>
    </xf>
    <xf numFmtId="0" fontId="10" fillId="4" borderId="1" xfId="0" applyFont="1" applyFill="1" applyBorder="1" applyAlignment="1">
      <alignment vertical="top"/>
    </xf>
    <xf numFmtId="0" fontId="0" fillId="4" borderId="1" xfId="0" applyFill="1" applyBorder="1" applyAlignment="1">
      <alignment horizontal="center" vertical="top"/>
    </xf>
    <xf numFmtId="0" fontId="0" fillId="0" borderId="0" xfId="0" applyAlignment="1">
      <alignment horizontal="center" vertical="top"/>
    </xf>
    <xf numFmtId="31" fontId="0" fillId="0" borderId="1" xfId="0" applyNumberFormat="1" applyBorder="1" applyAlignment="1">
      <alignment vertical="top"/>
    </xf>
    <xf numFmtId="31" fontId="0" fillId="0" borderId="0" xfId="0" applyNumberFormat="1" applyAlignment="1">
      <alignment vertical="top"/>
    </xf>
    <xf numFmtId="0" fontId="0" fillId="0" borderId="1" xfId="0" applyBorder="1" applyAlignment="1">
      <alignment horizontal="left" vertical="top"/>
    </xf>
    <xf numFmtId="0" fontId="0" fillId="0" borderId="8" xfId="0" applyBorder="1" applyAlignment="1">
      <alignment shrinkToFit="1"/>
    </xf>
    <xf numFmtId="0" fontId="1" fillId="0" borderId="8" xfId="0" applyFont="1" applyBorder="1" applyAlignment="1">
      <alignment shrinkToFit="1"/>
    </xf>
    <xf numFmtId="0" fontId="0" fillId="6" borderId="0" xfId="0" applyFill="1" applyProtection="1">
      <protection locked="0"/>
    </xf>
    <xf numFmtId="31" fontId="0" fillId="0" borderId="3" xfId="0" applyNumberFormat="1" applyBorder="1" applyAlignment="1">
      <alignment vertical="top"/>
    </xf>
    <xf numFmtId="0" fontId="0" fillId="0" borderId="3" xfId="0" applyBorder="1" applyAlignment="1">
      <alignment vertical="top" wrapText="1"/>
    </xf>
    <xf numFmtId="31" fontId="0" fillId="0" borderId="4" xfId="0" applyNumberFormat="1" applyBorder="1" applyAlignment="1">
      <alignment vertical="top"/>
    </xf>
    <xf numFmtId="0" fontId="0" fillId="0" borderId="4" xfId="0" applyBorder="1" applyAlignment="1">
      <alignment vertical="top"/>
    </xf>
    <xf numFmtId="0" fontId="0" fillId="0" borderId="3" xfId="0" applyBorder="1" applyAlignment="1">
      <alignment horizontal="left" vertical="top" wrapText="1"/>
    </xf>
    <xf numFmtId="31" fontId="0" fillId="0" borderId="17" xfId="0" applyNumberFormat="1" applyBorder="1" applyAlignment="1">
      <alignment vertical="top"/>
    </xf>
    <xf numFmtId="0" fontId="0" fillId="0" borderId="17" xfId="0" applyBorder="1" applyAlignment="1">
      <alignment vertical="top"/>
    </xf>
    <xf numFmtId="0" fontId="4" fillId="0" borderId="17" xfId="0" applyFont="1" applyBorder="1" applyAlignment="1">
      <alignment vertical="top"/>
    </xf>
    <xf numFmtId="0" fontId="4" fillId="0" borderId="17" xfId="0" applyFont="1" applyBorder="1" applyAlignment="1">
      <alignment horizontal="left" vertical="top"/>
    </xf>
    <xf numFmtId="0" fontId="4" fillId="0" borderId="3" xfId="0" applyFont="1" applyBorder="1" applyAlignment="1">
      <alignment vertical="top"/>
    </xf>
    <xf numFmtId="180" fontId="0" fillId="0" borderId="0" xfId="0" applyNumberFormat="1" applyProtection="1">
      <protection locked="0"/>
    </xf>
    <xf numFmtId="0" fontId="0" fillId="0" borderId="0" xfId="0" applyProtection="1">
      <protection locked="0"/>
    </xf>
    <xf numFmtId="0" fontId="0" fillId="0" borderId="0" xfId="0" applyAlignment="1" applyProtection="1">
      <alignment horizontal="left"/>
      <protection locked="0"/>
    </xf>
    <xf numFmtId="0" fontId="0" fillId="6" borderId="8" xfId="0" applyFill="1" applyBorder="1" applyProtection="1">
      <protection locked="0"/>
    </xf>
    <xf numFmtId="0" fontId="0" fillId="8" borderId="0" xfId="0" applyFill="1" applyProtection="1">
      <protection hidden="1"/>
    </xf>
    <xf numFmtId="0" fontId="0" fillId="8" borderId="0" xfId="0" applyFill="1" applyAlignment="1" applyProtection="1">
      <alignment horizontal="left"/>
      <protection hidden="1"/>
    </xf>
    <xf numFmtId="0" fontId="5" fillId="8" borderId="0" xfId="0" applyFont="1" applyFill="1" applyAlignment="1" applyProtection="1">
      <alignment horizontal="left"/>
      <protection hidden="1"/>
    </xf>
    <xf numFmtId="0" fontId="0" fillId="8" borderId="18" xfId="0" applyFill="1" applyBorder="1" applyProtection="1">
      <protection hidden="1"/>
    </xf>
    <xf numFmtId="0" fontId="0" fillId="8" borderId="0" xfId="0" applyFill="1" applyAlignment="1" applyProtection="1">
      <alignment horizontal="distributed"/>
      <protection hidden="1"/>
    </xf>
    <xf numFmtId="0" fontId="0" fillId="8" borderId="19" xfId="0" applyFill="1" applyBorder="1" applyProtection="1">
      <protection hidden="1"/>
    </xf>
    <xf numFmtId="0" fontId="0" fillId="8" borderId="0" xfId="0" applyFill="1" applyAlignment="1" applyProtection="1">
      <alignment horizontal="center"/>
      <protection hidden="1"/>
    </xf>
    <xf numFmtId="0" fontId="0" fillId="5" borderId="1" xfId="0" applyFill="1" applyBorder="1" applyProtection="1">
      <protection locked="0" hidden="1"/>
    </xf>
    <xf numFmtId="0" fontId="0" fillId="5" borderId="1" xfId="0" applyFill="1" applyBorder="1" applyAlignment="1" applyProtection="1">
      <alignment horizontal="center" vertical="distributed"/>
      <protection locked="0"/>
    </xf>
    <xf numFmtId="0" fontId="1" fillId="8" borderId="0" xfId="0" applyFont="1" applyFill="1" applyAlignment="1" applyProtection="1">
      <alignment horizontal="distributed"/>
      <protection hidden="1"/>
    </xf>
    <xf numFmtId="0" fontId="14" fillId="8" borderId="18" xfId="0" applyFont="1" applyFill="1" applyBorder="1" applyAlignment="1" applyProtection="1">
      <alignment horizontal="right" vertical="top"/>
      <protection hidden="1"/>
    </xf>
    <xf numFmtId="0" fontId="0" fillId="8" borderId="20" xfId="0" applyFill="1" applyBorder="1" applyProtection="1">
      <protection hidden="1"/>
    </xf>
    <xf numFmtId="0" fontId="0" fillId="8" borderId="21" xfId="0" applyFill="1" applyBorder="1" applyAlignment="1" applyProtection="1">
      <alignment horizontal="distributed"/>
      <protection hidden="1"/>
    </xf>
    <xf numFmtId="0" fontId="0" fillId="8" borderId="21" xfId="0" applyFill="1" applyBorder="1" applyProtection="1">
      <protection hidden="1"/>
    </xf>
    <xf numFmtId="0" fontId="0" fillId="8" borderId="22" xfId="0" applyFill="1" applyBorder="1" applyProtection="1">
      <protection hidden="1"/>
    </xf>
    <xf numFmtId="0" fontId="0" fillId="8" borderId="0" xfId="0" applyFill="1" applyAlignment="1" applyProtection="1">
      <alignment vertical="top" wrapText="1"/>
      <protection hidden="1"/>
    </xf>
    <xf numFmtId="0" fontId="0" fillId="0" borderId="0" xfId="0" applyAlignment="1" applyProtection="1">
      <alignment horizontal="right"/>
      <protection locked="0"/>
    </xf>
    <xf numFmtId="0" fontId="1" fillId="8" borderId="0" xfId="0" applyFont="1" applyFill="1" applyAlignment="1" applyProtection="1">
      <alignment horizontal="centerContinuous" vertical="center" shrinkToFit="1"/>
      <protection hidden="1"/>
    </xf>
    <xf numFmtId="0" fontId="0" fillId="6" borderId="1" xfId="0" applyFill="1" applyBorder="1" applyAlignment="1">
      <alignment vertical="top" shrinkToFit="1"/>
    </xf>
    <xf numFmtId="0" fontId="14" fillId="8" borderId="0" xfId="0" applyFont="1" applyFill="1" applyAlignment="1" applyProtection="1">
      <alignment horizontal="left" vertical="top" wrapText="1"/>
      <protection hidden="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176" fontId="9" fillId="0" borderId="12" xfId="0" applyNumberFormat="1" applyFont="1" applyBorder="1"/>
    <xf numFmtId="31" fontId="1" fillId="0" borderId="1" xfId="0" applyNumberFormat="1" applyFont="1" applyBorder="1" applyAlignment="1">
      <alignment vertical="top"/>
    </xf>
    <xf numFmtId="0" fontId="1" fillId="4" borderId="1" xfId="0" applyFont="1" applyFill="1" applyBorder="1" applyAlignment="1">
      <alignment vertical="top"/>
    </xf>
    <xf numFmtId="0" fontId="1" fillId="4" borderId="1" xfId="0" applyFont="1" applyFill="1" applyBorder="1" applyAlignment="1">
      <alignment horizontal="center" vertical="top"/>
    </xf>
    <xf numFmtId="0" fontId="9" fillId="7" borderId="5" xfId="0" applyFont="1" applyFill="1" applyBorder="1" applyAlignment="1">
      <alignment vertical="top"/>
    </xf>
    <xf numFmtId="0" fontId="9" fillId="5" borderId="5" xfId="0" applyFont="1" applyFill="1" applyBorder="1" applyAlignment="1">
      <alignment vertical="top"/>
    </xf>
    <xf numFmtId="0" fontId="1" fillId="0" borderId="0" xfId="0" applyFont="1" applyAlignment="1">
      <alignment horizontal="right" vertical="top"/>
    </xf>
    <xf numFmtId="0" fontId="1" fillId="9" borderId="1" xfId="0" applyFont="1" applyFill="1" applyBorder="1" applyAlignment="1">
      <alignment vertical="top" shrinkToFit="1"/>
    </xf>
    <xf numFmtId="0" fontId="1" fillId="9" borderId="4" xfId="0" applyFont="1" applyFill="1" applyBorder="1" applyAlignment="1">
      <alignment vertical="top" shrinkToFit="1"/>
    </xf>
    <xf numFmtId="0" fontId="1" fillId="9" borderId="3" xfId="0" applyFont="1" applyFill="1" applyBorder="1" applyAlignment="1">
      <alignment vertical="top" shrinkToFit="1"/>
    </xf>
    <xf numFmtId="0" fontId="1" fillId="6" borderId="0" xfId="0" applyFont="1" applyFill="1" applyAlignment="1">
      <alignment vertical="top"/>
    </xf>
    <xf numFmtId="0" fontId="1" fillId="2" borderId="0" xfId="0" applyFont="1" applyFill="1" applyAlignment="1">
      <alignment vertical="top"/>
    </xf>
    <xf numFmtId="0" fontId="1" fillId="4" borderId="0" xfId="0" applyFont="1" applyFill="1" applyAlignment="1">
      <alignment vertical="top"/>
    </xf>
    <xf numFmtId="0" fontId="0" fillId="0" borderId="8" xfId="0" applyBorder="1" applyAlignment="1">
      <alignment horizontal="center"/>
    </xf>
    <xf numFmtId="0" fontId="8" fillId="0" borderId="10" xfId="0" applyFont="1" applyBorder="1"/>
    <xf numFmtId="0" fontId="8" fillId="0" borderId="0" xfId="0" applyFont="1"/>
    <xf numFmtId="0" fontId="8" fillId="0" borderId="12" xfId="0" applyFont="1" applyBorder="1" applyAlignment="1">
      <alignment horizontal="left" shrinkToFit="1"/>
    </xf>
    <xf numFmtId="177" fontId="0" fillId="0" borderId="8" xfId="0" applyNumberFormat="1" applyBorder="1" applyAlignment="1">
      <alignment vertical="center"/>
    </xf>
    <xf numFmtId="0" fontId="4" fillId="0" borderId="0" xfId="0" applyFont="1" applyAlignment="1">
      <alignment horizontal="left"/>
    </xf>
    <xf numFmtId="0" fontId="5" fillId="0" borderId="0" xfId="0" applyFont="1" applyAlignment="1">
      <alignment horizontal="left"/>
    </xf>
    <xf numFmtId="0" fontId="0" fillId="8" borderId="1" xfId="0" applyFill="1" applyBorder="1"/>
    <xf numFmtId="0" fontId="0" fillId="8" borderId="0" xfId="0" applyFill="1"/>
    <xf numFmtId="0" fontId="0" fillId="0" borderId="0" xfId="0" applyAlignment="1">
      <alignment horizontal="distributed"/>
    </xf>
    <xf numFmtId="0" fontId="0" fillId="8" borderId="21" xfId="0" applyFill="1" applyBorder="1" applyAlignment="1" applyProtection="1">
      <alignment vertical="top"/>
      <protection hidden="1"/>
    </xf>
    <xf numFmtId="0" fontId="0" fillId="5" borderId="1" xfId="0" applyFill="1" applyBorder="1" applyAlignment="1" applyProtection="1">
      <alignment horizontal="center" vertical="center"/>
      <protection locked="0" hidden="1"/>
    </xf>
    <xf numFmtId="0" fontId="1" fillId="7" borderId="12" xfId="0" applyFont="1" applyFill="1" applyBorder="1" applyAlignment="1">
      <alignment vertical="top"/>
    </xf>
    <xf numFmtId="0" fontId="1" fillId="5" borderId="12" xfId="0" applyFont="1" applyFill="1" applyBorder="1" applyAlignment="1">
      <alignment vertical="top"/>
    </xf>
    <xf numFmtId="31" fontId="17" fillId="0" borderId="1" xfId="0" applyNumberFormat="1" applyFont="1" applyBorder="1" applyAlignment="1">
      <alignment vertical="top"/>
    </xf>
    <xf numFmtId="0" fontId="17" fillId="0" borderId="1" xfId="0" applyFont="1" applyBorder="1" applyAlignment="1">
      <alignment vertical="top" wrapText="1"/>
    </xf>
    <xf numFmtId="0" fontId="1" fillId="0" borderId="1" xfId="0" applyFont="1" applyBorder="1" applyAlignment="1">
      <alignment vertical="top"/>
    </xf>
    <xf numFmtId="0" fontId="0" fillId="0" borderId="5" xfId="0" applyBorder="1" applyAlignment="1">
      <alignment vertical="center"/>
    </xf>
    <xf numFmtId="0" fontId="0" fillId="0" borderId="16" xfId="0" applyBorder="1"/>
    <xf numFmtId="0" fontId="0" fillId="0" borderId="13" xfId="0" applyBorder="1" applyAlignment="1">
      <alignment horizontal="right"/>
    </xf>
    <xf numFmtId="0" fontId="0" fillId="0" borderId="4" xfId="0" applyBorder="1"/>
    <xf numFmtId="0" fontId="0" fillId="0" borderId="3" xfId="0" applyBorder="1" applyAlignment="1">
      <alignment horizontal="right"/>
    </xf>
    <xf numFmtId="0" fontId="0" fillId="0" borderId="3" xfId="0" applyBorder="1" applyAlignment="1">
      <alignment horizontal="right" indent="1"/>
    </xf>
    <xf numFmtId="0" fontId="0" fillId="0" borderId="17" xfId="0" applyBorder="1"/>
    <xf numFmtId="0" fontId="0" fillId="0" borderId="4" xfId="0" applyBorder="1" applyAlignment="1">
      <alignment horizontal="left" indent="1"/>
    </xf>
    <xf numFmtId="182" fontId="0" fillId="0" borderId="2" xfId="0" applyNumberFormat="1" applyBorder="1"/>
    <xf numFmtId="182" fontId="0" fillId="0" borderId="1" xfId="0" applyNumberFormat="1" applyBorder="1"/>
    <xf numFmtId="0" fontId="0" fillId="3" borderId="4" xfId="0" applyFill="1" applyBorder="1"/>
    <xf numFmtId="0" fontId="0" fillId="0" borderId="15" xfId="0" applyBorder="1"/>
    <xf numFmtId="181" fontId="0" fillId="0" borderId="1" xfId="0" applyNumberFormat="1" applyBorder="1" applyAlignment="1">
      <alignment horizontal="center"/>
    </xf>
    <xf numFmtId="0" fontId="18" fillId="0" borderId="1" xfId="0" applyFont="1" applyBorder="1" applyAlignment="1">
      <alignment horizontal="center"/>
    </xf>
    <xf numFmtId="0" fontId="18" fillId="0" borderId="1" xfId="0" applyFont="1" applyBorder="1"/>
    <xf numFmtId="0" fontId="18" fillId="0" borderId="1" xfId="0" applyFont="1" applyBorder="1" applyAlignment="1">
      <alignment horizontal="right"/>
    </xf>
    <xf numFmtId="181" fontId="0" fillId="0" borderId="1" xfId="0" applyNumberFormat="1" applyBorder="1"/>
    <xf numFmtId="181" fontId="18" fillId="0" borderId="1" xfId="0" applyNumberFormat="1" applyFont="1" applyBorder="1"/>
    <xf numFmtId="0" fontId="0" fillId="10" borderId="1" xfId="0" applyFill="1" applyBorder="1" applyAlignment="1">
      <alignment vertical="top" wrapText="1"/>
    </xf>
    <xf numFmtId="181" fontId="0" fillId="10" borderId="1" xfId="0" applyNumberFormat="1" applyFill="1" applyBorder="1" applyAlignment="1">
      <alignment vertical="top" wrapText="1"/>
    </xf>
    <xf numFmtId="181" fontId="19" fillId="10" borderId="1" xfId="0" applyNumberFormat="1" applyFont="1" applyFill="1" applyBorder="1" applyAlignment="1">
      <alignment vertical="top" wrapText="1"/>
    </xf>
    <xf numFmtId="0" fontId="0" fillId="10" borderId="1" xfId="0" applyFill="1" applyBorder="1" applyAlignment="1">
      <alignment horizontal="center" vertical="top" wrapText="1" shrinkToFit="1"/>
    </xf>
    <xf numFmtId="0" fontId="0" fillId="10" borderId="1" xfId="0" applyFill="1" applyBorder="1" applyAlignment="1">
      <alignment horizontal="center" vertical="top" shrinkToFit="1"/>
    </xf>
    <xf numFmtId="0" fontId="0" fillId="11" borderId="1" xfId="0" applyFill="1" applyBorder="1" applyAlignment="1">
      <alignment horizontal="center" vertical="top" wrapText="1" shrinkToFit="1"/>
    </xf>
    <xf numFmtId="0" fontId="0" fillId="11" borderId="1" xfId="0" applyFill="1" applyBorder="1" applyAlignment="1">
      <alignment horizontal="center" vertical="top" shrinkToFit="1"/>
    </xf>
    <xf numFmtId="0" fontId="0" fillId="12" borderId="1" xfId="0" applyFill="1" applyBorder="1" applyAlignment="1">
      <alignment vertical="top" wrapText="1"/>
    </xf>
    <xf numFmtId="181" fontId="0" fillId="12" borderId="1" xfId="0" applyNumberFormat="1" applyFill="1" applyBorder="1" applyAlignment="1">
      <alignment vertical="top" wrapText="1"/>
    </xf>
    <xf numFmtId="181" fontId="19" fillId="12" borderId="1" xfId="0" applyNumberFormat="1" applyFont="1" applyFill="1" applyBorder="1" applyAlignment="1">
      <alignment vertical="top" wrapText="1"/>
    </xf>
    <xf numFmtId="0" fontId="0" fillId="12" borderId="1" xfId="0" applyFill="1" applyBorder="1" applyAlignment="1">
      <alignment horizontal="center" vertical="top" wrapText="1" shrinkToFit="1"/>
    </xf>
    <xf numFmtId="0" fontId="0" fillId="12" borderId="1" xfId="0" applyFill="1" applyBorder="1" applyAlignment="1">
      <alignment horizontal="center" vertical="top" shrinkToFit="1"/>
    </xf>
    <xf numFmtId="0" fontId="1" fillId="10" borderId="3" xfId="0" applyFont="1" applyFill="1" applyBorder="1" applyAlignment="1">
      <alignment vertical="top" wrapText="1"/>
    </xf>
    <xf numFmtId="0" fontId="18" fillId="4" borderId="1" xfId="0" applyFont="1" applyFill="1" applyBorder="1" applyAlignment="1">
      <alignment vertical="top"/>
    </xf>
    <xf numFmtId="0" fontId="19" fillId="4" borderId="1" xfId="0" applyFont="1" applyFill="1" applyBorder="1" applyAlignment="1">
      <alignment vertical="top"/>
    </xf>
    <xf numFmtId="0" fontId="0" fillId="9" borderId="1" xfId="0" applyFill="1" applyBorder="1" applyAlignment="1">
      <alignment vertical="top"/>
    </xf>
    <xf numFmtId="0" fontId="0" fillId="9" borderId="1" xfId="0" applyFill="1" applyBorder="1" applyAlignment="1">
      <alignment vertical="top" shrinkToFit="1"/>
    </xf>
    <xf numFmtId="0" fontId="1" fillId="10" borderId="17" xfId="0" applyFont="1" applyFill="1" applyBorder="1" applyAlignment="1">
      <alignment horizontal="center" vertical="top" wrapText="1"/>
    </xf>
    <xf numFmtId="0" fontId="18" fillId="10" borderId="1" xfId="0" applyFont="1" applyFill="1" applyBorder="1" applyAlignment="1">
      <alignment vertical="top"/>
    </xf>
    <xf numFmtId="0" fontId="1" fillId="11" borderId="17" xfId="0" applyFont="1" applyFill="1" applyBorder="1" applyAlignment="1">
      <alignment horizontal="center" vertical="top" wrapText="1"/>
    </xf>
    <xf numFmtId="0" fontId="18" fillId="11" borderId="1" xfId="0" applyFont="1" applyFill="1" applyBorder="1" applyAlignment="1">
      <alignment vertical="top"/>
    </xf>
    <xf numFmtId="0" fontId="0" fillId="11" borderId="1" xfId="0" applyFill="1" applyBorder="1" applyAlignment="1">
      <alignment vertical="top" wrapText="1"/>
    </xf>
    <xf numFmtId="181" fontId="0" fillId="11" borderId="1" xfId="0" applyNumberFormat="1" applyFill="1" applyBorder="1" applyAlignment="1">
      <alignment vertical="top" wrapText="1"/>
    </xf>
    <xf numFmtId="181" fontId="19" fillId="11" borderId="1" xfId="0" applyNumberFormat="1" applyFont="1" applyFill="1" applyBorder="1" applyAlignment="1">
      <alignment vertical="top" wrapText="1"/>
    </xf>
    <xf numFmtId="0" fontId="1" fillId="12" borderId="17" xfId="0" applyFont="1" applyFill="1" applyBorder="1" applyAlignment="1">
      <alignment horizontal="center" vertical="top" wrapText="1"/>
    </xf>
    <xf numFmtId="0" fontId="18" fillId="12" borderId="1" xfId="0" applyFont="1" applyFill="1" applyBorder="1" applyAlignment="1">
      <alignment vertical="top"/>
    </xf>
    <xf numFmtId="0" fontId="0" fillId="10" borderId="1" xfId="0" applyFill="1" applyBorder="1" applyAlignment="1">
      <alignment vertical="top"/>
    </xf>
    <xf numFmtId="0" fontId="0" fillId="12" borderId="1" xfId="0" applyFill="1" applyBorder="1" applyAlignment="1">
      <alignment vertical="top"/>
    </xf>
    <xf numFmtId="0" fontId="1" fillId="4" borderId="4" xfId="0" applyFont="1" applyFill="1" applyBorder="1" applyAlignment="1">
      <alignment vertical="top"/>
    </xf>
    <xf numFmtId="0" fontId="1" fillId="4" borderId="3" xfId="0" applyFont="1" applyFill="1" applyBorder="1" applyAlignment="1">
      <alignment vertical="top"/>
    </xf>
    <xf numFmtId="0" fontId="18" fillId="12" borderId="4" xfId="0" applyFont="1" applyFill="1" applyBorder="1" applyAlignment="1">
      <alignment vertical="top"/>
    </xf>
    <xf numFmtId="0" fontId="0" fillId="12" borderId="4" xfId="0" applyFill="1" applyBorder="1" applyAlignment="1">
      <alignment vertical="top" wrapText="1"/>
    </xf>
    <xf numFmtId="181" fontId="0" fillId="12" borderId="4" xfId="0" applyNumberFormat="1" applyFill="1" applyBorder="1" applyAlignment="1">
      <alignment vertical="top" wrapText="1"/>
    </xf>
    <xf numFmtId="181" fontId="19" fillId="12" borderId="4" xfId="0" applyNumberFormat="1" applyFont="1" applyFill="1" applyBorder="1" applyAlignment="1">
      <alignment vertical="top" wrapText="1"/>
    </xf>
    <xf numFmtId="0" fontId="0" fillId="12" borderId="4" xfId="0" applyFill="1" applyBorder="1" applyAlignment="1">
      <alignment horizontal="center" vertical="top" wrapText="1" shrinkToFit="1"/>
    </xf>
    <xf numFmtId="0" fontId="0" fillId="12" borderId="4" xfId="0" applyFill="1" applyBorder="1" applyAlignment="1">
      <alignment horizontal="center" vertical="top" shrinkToFit="1"/>
    </xf>
    <xf numFmtId="0" fontId="10" fillId="5" borderId="4" xfId="0" applyFont="1" applyFill="1" applyBorder="1" applyAlignment="1">
      <alignment vertical="top"/>
    </xf>
    <xf numFmtId="177" fontId="10" fillId="5" borderId="4" xfId="1" applyNumberFormat="1" applyFont="1" applyFill="1" applyBorder="1" applyAlignment="1" applyProtection="1">
      <alignment vertical="top"/>
    </xf>
    <xf numFmtId="0" fontId="10" fillId="7" borderId="4" xfId="0" applyFont="1" applyFill="1" applyBorder="1" applyAlignment="1">
      <alignment vertical="top"/>
    </xf>
    <xf numFmtId="177" fontId="10" fillId="7" borderId="4" xfId="1" applyNumberFormat="1" applyFont="1" applyFill="1" applyBorder="1" applyAlignment="1" applyProtection="1">
      <alignment vertical="top"/>
    </xf>
    <xf numFmtId="0" fontId="1" fillId="12" borderId="4" xfId="0" applyFont="1" applyFill="1" applyBorder="1" applyAlignment="1">
      <alignment horizontal="center" vertical="top" wrapText="1"/>
    </xf>
    <xf numFmtId="0" fontId="1" fillId="11" borderId="4" xfId="0" applyFont="1" applyFill="1" applyBorder="1" applyAlignment="1">
      <alignment horizontal="center" vertical="top" wrapText="1"/>
    </xf>
    <xf numFmtId="0" fontId="18" fillId="10" borderId="4" xfId="0" applyFont="1" applyFill="1" applyBorder="1" applyAlignment="1">
      <alignment vertical="top"/>
    </xf>
    <xf numFmtId="0" fontId="0" fillId="10" borderId="4" xfId="0" applyFill="1" applyBorder="1" applyAlignment="1">
      <alignment vertical="top" wrapText="1"/>
    </xf>
    <xf numFmtId="181" fontId="0" fillId="10" borderId="4" xfId="0" applyNumberFormat="1" applyFill="1" applyBorder="1" applyAlignment="1">
      <alignment vertical="top" wrapText="1"/>
    </xf>
    <xf numFmtId="181" fontId="19" fillId="10" borderId="4" xfId="0" applyNumberFormat="1" applyFont="1" applyFill="1" applyBorder="1" applyAlignment="1">
      <alignment vertical="top" wrapText="1"/>
    </xf>
    <xf numFmtId="0" fontId="0" fillId="10" borderId="4" xfId="0" applyFill="1" applyBorder="1" applyAlignment="1">
      <alignment horizontal="center" vertical="top" wrapText="1" shrinkToFit="1"/>
    </xf>
    <xf numFmtId="0" fontId="0" fillId="10" borderId="4" xfId="0" applyFill="1" applyBorder="1" applyAlignment="1">
      <alignment horizontal="center" vertical="top" shrinkToFit="1"/>
    </xf>
    <xf numFmtId="0" fontId="1" fillId="10" borderId="4" xfId="0" applyFont="1" applyFill="1" applyBorder="1" applyAlignment="1">
      <alignment horizontal="center" vertical="top" wrapText="1"/>
    </xf>
    <xf numFmtId="0" fontId="18" fillId="11" borderId="4" xfId="0" applyFont="1" applyFill="1" applyBorder="1" applyAlignment="1">
      <alignment vertical="top"/>
    </xf>
    <xf numFmtId="0" fontId="0" fillId="11" borderId="4" xfId="0" applyFill="1" applyBorder="1" applyAlignment="1">
      <alignment vertical="top" wrapText="1"/>
    </xf>
    <xf numFmtId="181" fontId="0" fillId="11" borderId="4" xfId="0" applyNumberFormat="1" applyFill="1" applyBorder="1" applyAlignment="1">
      <alignment vertical="top" wrapText="1"/>
    </xf>
    <xf numFmtId="181" fontId="19" fillId="11" borderId="4" xfId="0" applyNumberFormat="1" applyFont="1" applyFill="1" applyBorder="1" applyAlignment="1">
      <alignment vertical="top" wrapText="1"/>
    </xf>
    <xf numFmtId="0" fontId="0" fillId="11" borderId="4" xfId="0" applyFill="1" applyBorder="1" applyAlignment="1">
      <alignment horizontal="center" vertical="top" wrapText="1" shrinkToFit="1"/>
    </xf>
    <xf numFmtId="0" fontId="0" fillId="11" borderId="4" xfId="0" applyFill="1" applyBorder="1" applyAlignment="1">
      <alignment horizontal="center" vertical="top" shrinkToFit="1"/>
    </xf>
    <xf numFmtId="181" fontId="19" fillId="6" borderId="1" xfId="0" applyNumberFormat="1" applyFont="1" applyFill="1" applyBorder="1" applyAlignment="1">
      <alignment vertical="top"/>
    </xf>
    <xf numFmtId="0" fontId="0" fillId="8" borderId="0" xfId="0" applyFill="1" applyAlignment="1" applyProtection="1">
      <alignment horizontal="left" shrinkToFit="1"/>
      <protection hidden="1"/>
    </xf>
    <xf numFmtId="0" fontId="16" fillId="8" borderId="0" xfId="0" applyFont="1" applyFill="1" applyAlignment="1" applyProtection="1">
      <alignment horizontal="left" shrinkToFit="1"/>
      <protection hidden="1"/>
    </xf>
    <xf numFmtId="0" fontId="20" fillId="8" borderId="6" xfId="0" applyFont="1" applyFill="1" applyBorder="1" applyAlignment="1" applyProtection="1">
      <alignment horizontal="center" wrapText="1"/>
      <protection hidden="1"/>
    </xf>
    <xf numFmtId="0" fontId="20" fillId="8" borderId="19" xfId="0" applyFont="1" applyFill="1" applyBorder="1" applyAlignment="1" applyProtection="1">
      <alignment horizontal="center" wrapText="1"/>
      <protection hidden="1"/>
    </xf>
    <xf numFmtId="0" fontId="13" fillId="8" borderId="18" xfId="0" applyFont="1" applyFill="1" applyBorder="1" applyAlignment="1" applyProtection="1">
      <alignment horizontal="center"/>
      <protection hidden="1"/>
    </xf>
    <xf numFmtId="0" fontId="13" fillId="8" borderId="0" xfId="0" applyFont="1" applyFill="1" applyAlignment="1" applyProtection="1">
      <alignment horizontal="center"/>
      <protection hidden="1"/>
    </xf>
    <xf numFmtId="0" fontId="13" fillId="8" borderId="19" xfId="0" applyFont="1" applyFill="1" applyBorder="1" applyAlignment="1" applyProtection="1">
      <alignment horizontal="center"/>
      <protection hidden="1"/>
    </xf>
    <xf numFmtId="0" fontId="7" fillId="8" borderId="18" xfId="0" applyFont="1" applyFill="1" applyBorder="1" applyAlignment="1" applyProtection="1">
      <alignment horizontal="center"/>
      <protection hidden="1"/>
    </xf>
    <xf numFmtId="0" fontId="7" fillId="8" borderId="0" xfId="0" applyFont="1" applyFill="1" applyAlignment="1" applyProtection="1">
      <alignment horizontal="center"/>
      <protection hidden="1"/>
    </xf>
    <xf numFmtId="0" fontId="7" fillId="8" borderId="19" xfId="0" applyFont="1" applyFill="1" applyBorder="1" applyAlignment="1" applyProtection="1">
      <alignment horizontal="center"/>
      <protection hidden="1"/>
    </xf>
    <xf numFmtId="0" fontId="14" fillId="8" borderId="0" xfId="0" applyFont="1" applyFill="1" applyAlignment="1" applyProtection="1">
      <alignment horizontal="left" vertical="top" wrapText="1"/>
      <protection hidden="1"/>
    </xf>
    <xf numFmtId="0" fontId="0" fillId="8" borderId="0" xfId="0" applyFill="1" applyAlignment="1" applyProtection="1">
      <alignment horizontal="left"/>
      <protection hidden="1"/>
    </xf>
    <xf numFmtId="0" fontId="0" fillId="8" borderId="23" xfId="0" applyFill="1" applyBorder="1" applyAlignment="1" applyProtection="1">
      <alignment horizontal="left"/>
      <protection hidden="1"/>
    </xf>
    <xf numFmtId="0" fontId="0" fillId="8" borderId="24" xfId="0" applyFill="1" applyBorder="1" applyAlignment="1" applyProtection="1">
      <alignment horizontal="left"/>
      <protection hidden="1"/>
    </xf>
    <xf numFmtId="0" fontId="0" fillId="8" borderId="25" xfId="0" applyFill="1" applyBorder="1" applyAlignment="1" applyProtection="1">
      <alignment horizontal="left"/>
      <protection hidden="1"/>
    </xf>
    <xf numFmtId="0" fontId="0" fillId="8" borderId="18" xfId="0" applyFill="1" applyBorder="1" applyAlignment="1" applyProtection="1">
      <alignment horizontal="left"/>
      <protection hidden="1"/>
    </xf>
    <xf numFmtId="0" fontId="0" fillId="8" borderId="19" xfId="0" applyFill="1" applyBorder="1" applyAlignment="1" applyProtection="1">
      <alignment horizontal="left"/>
      <protection hidden="1"/>
    </xf>
    <xf numFmtId="0" fontId="13" fillId="0" borderId="0" xfId="0" applyFont="1" applyAlignment="1" applyProtection="1">
      <alignment vertical="top"/>
      <protection locked="0"/>
    </xf>
    <xf numFmtId="0" fontId="0" fillId="0" borderId="0" xfId="0" applyAlignment="1" applyProtection="1">
      <alignment horizontal="right"/>
      <protection locked="0"/>
    </xf>
    <xf numFmtId="0" fontId="9" fillId="0" borderId="10" xfId="0" applyFont="1" applyBorder="1"/>
    <xf numFmtId="0" fontId="0" fillId="0" borderId="0" xfId="0" applyProtection="1">
      <protection locked="0"/>
    </xf>
    <xf numFmtId="0" fontId="0" fillId="5" borderId="3"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0" fillId="5" borderId="4" xfId="0" applyFill="1" applyBorder="1" applyAlignment="1" applyProtection="1">
      <alignment vertical="top" wrapText="1"/>
      <protection locked="0"/>
    </xf>
    <xf numFmtId="0" fontId="0" fillId="0" borderId="0" xfId="0"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17" xfId="0" applyBorder="1" applyAlignment="1">
      <alignment horizontal="center"/>
    </xf>
    <xf numFmtId="0" fontId="0" fillId="0" borderId="4" xfId="0" applyBorder="1" applyAlignment="1">
      <alignment horizontal="center"/>
    </xf>
    <xf numFmtId="0" fontId="9" fillId="0" borderId="12" xfId="0" applyFont="1" applyBorder="1"/>
    <xf numFmtId="0" fontId="0" fillId="3" borderId="3" xfId="0" applyFill="1" applyBorder="1" applyAlignment="1">
      <alignment horizontal="center"/>
    </xf>
    <xf numFmtId="0" fontId="0" fillId="0" borderId="17" xfId="0" applyBorder="1"/>
    <xf numFmtId="0" fontId="0" fillId="0" borderId="4" xfId="0" applyBorder="1"/>
    <xf numFmtId="0" fontId="1" fillId="6" borderId="1" xfId="0" applyFont="1" applyFill="1" applyBorder="1" applyAlignment="1">
      <alignment horizontal="center" vertical="top"/>
    </xf>
    <xf numFmtId="0" fontId="1" fillId="10" borderId="3" xfId="0" applyFont="1" applyFill="1" applyBorder="1" applyAlignment="1">
      <alignment horizontal="center" vertical="top" wrapText="1"/>
    </xf>
    <xf numFmtId="0" fontId="1" fillId="10" borderId="17" xfId="0" applyFont="1" applyFill="1" applyBorder="1" applyAlignment="1">
      <alignment horizontal="center" vertical="top" wrapText="1"/>
    </xf>
    <xf numFmtId="0" fontId="1" fillId="10" borderId="4" xfId="0" applyFont="1" applyFill="1" applyBorder="1" applyAlignment="1">
      <alignment horizontal="center" vertical="top" wrapText="1"/>
    </xf>
    <xf numFmtId="0" fontId="1" fillId="4" borderId="3" xfId="0" applyFont="1" applyFill="1" applyBorder="1" applyAlignment="1">
      <alignment horizontal="right" vertical="top" wrapText="1"/>
    </xf>
    <xf numFmtId="0" fontId="1" fillId="0" borderId="17" xfId="0" applyFont="1" applyBorder="1" applyAlignment="1">
      <alignment horizontal="right"/>
    </xf>
    <xf numFmtId="0" fontId="1" fillId="0" borderId="4" xfId="0" applyFont="1" applyBorder="1" applyAlignment="1">
      <alignment horizontal="right"/>
    </xf>
    <xf numFmtId="0" fontId="1" fillId="6" borderId="3" xfId="0" applyFont="1" applyFill="1" applyBorder="1" applyAlignment="1">
      <alignment vertical="top"/>
    </xf>
    <xf numFmtId="0" fontId="1" fillId="6" borderId="17" xfId="0" applyFont="1" applyFill="1" applyBorder="1" applyAlignment="1">
      <alignment vertical="top"/>
    </xf>
    <xf numFmtId="0" fontId="1" fillId="6" borderId="4" xfId="0" applyFont="1" applyFill="1" applyBorder="1" applyAlignment="1">
      <alignment vertical="top"/>
    </xf>
    <xf numFmtId="0" fontId="1" fillId="12" borderId="3" xfId="0" applyFont="1" applyFill="1" applyBorder="1" applyAlignment="1">
      <alignment horizontal="center" vertical="top" wrapText="1"/>
    </xf>
    <xf numFmtId="0" fontId="1" fillId="12" borderId="17" xfId="0" applyFont="1" applyFill="1" applyBorder="1" applyAlignment="1">
      <alignment horizontal="center" vertical="top" wrapText="1"/>
    </xf>
    <xf numFmtId="0" fontId="1" fillId="12" borderId="4" xfId="0" applyFont="1" applyFill="1" applyBorder="1" applyAlignment="1">
      <alignment horizontal="center" vertical="top" wrapText="1"/>
    </xf>
  </cellXfs>
  <cellStyles count="4">
    <cellStyle name="桁区切り" xfId="1" builtinId="6"/>
    <cellStyle name="標準" xfId="0" builtinId="0"/>
    <cellStyle name="標準_Sheet1" xfId="2" xr:uid="{00000000-0005-0000-0000-000002000000}"/>
    <cellStyle name="標準_Sheet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704850</xdr:colOff>
      <xdr:row>4</xdr:row>
      <xdr:rowOff>38100</xdr:rowOff>
    </xdr:from>
    <xdr:to>
      <xdr:col>8</xdr:col>
      <xdr:colOff>695325</xdr:colOff>
      <xdr:row>5</xdr:row>
      <xdr:rowOff>104775</xdr:rowOff>
    </xdr:to>
    <xdr:sp macro="" textlink="">
      <xdr:nvSpPr>
        <xdr:cNvPr id="6145" name="Text Box 1">
          <a:extLst>
            <a:ext uri="{FF2B5EF4-FFF2-40B4-BE49-F238E27FC236}">
              <a16:creationId xmlns:a16="http://schemas.microsoft.com/office/drawing/2014/main" id="{03262015-59AB-4413-BD91-BA266B9EC6C7}"/>
            </a:ext>
          </a:extLst>
        </xdr:cNvPr>
        <xdr:cNvSpPr txBox="1">
          <a:spLocks noChangeArrowheads="1"/>
        </xdr:cNvSpPr>
      </xdr:nvSpPr>
      <xdr:spPr bwMode="auto">
        <a:xfrm>
          <a:off x="6581775" y="723900"/>
          <a:ext cx="0" cy="238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表示不要</a:t>
          </a:r>
        </a:p>
      </xdr:txBody>
    </xdr:sp>
    <xdr:clientData/>
  </xdr:twoCellAnchor>
  <xdr:twoCellAnchor>
    <xdr:from>
      <xdr:col>3</xdr:col>
      <xdr:colOff>2743200</xdr:colOff>
      <xdr:row>14</xdr:row>
      <xdr:rowOff>57150</xdr:rowOff>
    </xdr:from>
    <xdr:to>
      <xdr:col>4</xdr:col>
      <xdr:colOff>0</xdr:colOff>
      <xdr:row>15</xdr:row>
      <xdr:rowOff>0</xdr:rowOff>
    </xdr:to>
    <xdr:sp macro="" textlink="">
      <xdr:nvSpPr>
        <xdr:cNvPr id="6146" name="Text Box 2">
          <a:extLst>
            <a:ext uri="{FF2B5EF4-FFF2-40B4-BE49-F238E27FC236}">
              <a16:creationId xmlns:a16="http://schemas.microsoft.com/office/drawing/2014/main" id="{C7D494D2-83FA-4F3D-AF85-2B18046E0298}"/>
            </a:ext>
          </a:extLst>
        </xdr:cNvPr>
        <xdr:cNvSpPr txBox="1">
          <a:spLocks noChangeArrowheads="1"/>
        </xdr:cNvSpPr>
      </xdr:nvSpPr>
      <xdr:spPr bwMode="auto">
        <a:xfrm>
          <a:off x="4410075" y="3076575"/>
          <a:ext cx="733425" cy="24765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m</a:t>
          </a:r>
          <a:r>
            <a:rPr lang="ja-JP" altLang="en-US" sz="1100" b="0" i="0" u="none" strike="noStrike" baseline="30000">
              <a:solidFill>
                <a:srgbClr val="000000"/>
              </a:solidFill>
              <a:latin typeface="ＭＳ Ｐゴシック"/>
              <a:ea typeface="ＭＳ Ｐゴシック"/>
            </a:rPr>
            <a:t>2</a:t>
          </a:r>
        </a:p>
      </xdr:txBody>
    </xdr:sp>
    <xdr:clientData/>
  </xdr:twoCellAnchor>
  <xdr:twoCellAnchor>
    <xdr:from>
      <xdr:col>3</xdr:col>
      <xdr:colOff>2743200</xdr:colOff>
      <xdr:row>15</xdr:row>
      <xdr:rowOff>76200</xdr:rowOff>
    </xdr:from>
    <xdr:to>
      <xdr:col>4</xdr:col>
      <xdr:colOff>0</xdr:colOff>
      <xdr:row>16</xdr:row>
      <xdr:rowOff>19050</xdr:rowOff>
    </xdr:to>
    <xdr:sp macro="" textlink="">
      <xdr:nvSpPr>
        <xdr:cNvPr id="6147" name="Text Box 3">
          <a:extLst>
            <a:ext uri="{FF2B5EF4-FFF2-40B4-BE49-F238E27FC236}">
              <a16:creationId xmlns:a16="http://schemas.microsoft.com/office/drawing/2014/main" id="{3B8A5AD6-6527-42D5-9805-2456083297F2}"/>
            </a:ext>
          </a:extLst>
        </xdr:cNvPr>
        <xdr:cNvSpPr txBox="1">
          <a:spLocks noChangeArrowheads="1"/>
        </xdr:cNvSpPr>
      </xdr:nvSpPr>
      <xdr:spPr bwMode="auto">
        <a:xfrm>
          <a:off x="4410075" y="3400425"/>
          <a:ext cx="733425" cy="24765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人</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714375</xdr:colOff>
      <xdr:row>7</xdr:row>
      <xdr:rowOff>19050</xdr:rowOff>
    </xdr:from>
    <xdr:to>
      <xdr:col>7</xdr:col>
      <xdr:colOff>0</xdr:colOff>
      <xdr:row>11</xdr:row>
      <xdr:rowOff>38100</xdr:rowOff>
    </xdr:to>
    <xdr:pic>
      <xdr:nvPicPr>
        <xdr:cNvPr id="1169" name="Picture 6">
          <a:extLst>
            <a:ext uri="{FF2B5EF4-FFF2-40B4-BE49-F238E27FC236}">
              <a16:creationId xmlns:a16="http://schemas.microsoft.com/office/drawing/2014/main" id="{1BAC235F-F505-477B-8E1B-827EF10A5A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4725" y="1085850"/>
          <a:ext cx="9144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16</xdr:row>
      <xdr:rowOff>9525</xdr:rowOff>
    </xdr:from>
    <xdr:to>
      <xdr:col>12</xdr:col>
      <xdr:colOff>9525</xdr:colOff>
      <xdr:row>18</xdr:row>
      <xdr:rowOff>9525</xdr:rowOff>
    </xdr:to>
    <xdr:cxnSp macro="">
      <xdr:nvCxnSpPr>
        <xdr:cNvPr id="1170" name="直線コネクタ 2">
          <a:extLst>
            <a:ext uri="{FF2B5EF4-FFF2-40B4-BE49-F238E27FC236}">
              <a16:creationId xmlns:a16="http://schemas.microsoft.com/office/drawing/2014/main" id="{33E64ACA-3F21-4439-ABFB-F43254FAECD1}"/>
            </a:ext>
          </a:extLst>
        </xdr:cNvPr>
        <xdr:cNvCxnSpPr>
          <a:cxnSpLocks noChangeShapeType="1"/>
        </xdr:cNvCxnSpPr>
      </xdr:nvCxnSpPr>
      <xdr:spPr bwMode="auto">
        <a:xfrm>
          <a:off x="8410575" y="2638425"/>
          <a:ext cx="0" cy="3905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314325</xdr:colOff>
      <xdr:row>29</xdr:row>
      <xdr:rowOff>219075</xdr:rowOff>
    </xdr:from>
    <xdr:to>
      <xdr:col>12</xdr:col>
      <xdr:colOff>0</xdr:colOff>
      <xdr:row>33</xdr:row>
      <xdr:rowOff>9525</xdr:rowOff>
    </xdr:to>
    <xdr:cxnSp macro="">
      <xdr:nvCxnSpPr>
        <xdr:cNvPr id="1171" name="直線コネクタ 4">
          <a:extLst>
            <a:ext uri="{FF2B5EF4-FFF2-40B4-BE49-F238E27FC236}">
              <a16:creationId xmlns:a16="http://schemas.microsoft.com/office/drawing/2014/main" id="{08F4A818-78EE-4562-A0FD-FD4C9AD1B70F}"/>
            </a:ext>
          </a:extLst>
        </xdr:cNvPr>
        <xdr:cNvCxnSpPr>
          <a:cxnSpLocks noChangeShapeType="1"/>
        </xdr:cNvCxnSpPr>
      </xdr:nvCxnSpPr>
      <xdr:spPr bwMode="auto">
        <a:xfrm>
          <a:off x="8410575" y="5324475"/>
          <a:ext cx="0" cy="5619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714375</xdr:colOff>
      <xdr:row>7</xdr:row>
      <xdr:rowOff>19050</xdr:rowOff>
    </xdr:from>
    <xdr:to>
      <xdr:col>7</xdr:col>
      <xdr:colOff>0</xdr:colOff>
      <xdr:row>11</xdr:row>
      <xdr:rowOff>38100</xdr:rowOff>
    </xdr:to>
    <xdr:pic>
      <xdr:nvPicPr>
        <xdr:cNvPr id="4195" name="Picture 1">
          <a:extLst>
            <a:ext uri="{FF2B5EF4-FFF2-40B4-BE49-F238E27FC236}">
              <a16:creationId xmlns:a16="http://schemas.microsoft.com/office/drawing/2014/main" id="{F4EA8015-B278-437E-8CBF-E45A33C9E9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4725" y="1085850"/>
          <a:ext cx="9144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16</xdr:row>
      <xdr:rowOff>0</xdr:rowOff>
    </xdr:from>
    <xdr:to>
      <xdr:col>12</xdr:col>
      <xdr:colOff>0</xdr:colOff>
      <xdr:row>18</xdr:row>
      <xdr:rowOff>0</xdr:rowOff>
    </xdr:to>
    <xdr:cxnSp macro="">
      <xdr:nvCxnSpPr>
        <xdr:cNvPr id="4196" name="直線コネクタ 2">
          <a:extLst>
            <a:ext uri="{FF2B5EF4-FFF2-40B4-BE49-F238E27FC236}">
              <a16:creationId xmlns:a16="http://schemas.microsoft.com/office/drawing/2014/main" id="{757C463C-4F28-46F6-B740-F2C351C0D5BA}"/>
            </a:ext>
          </a:extLst>
        </xdr:cNvPr>
        <xdr:cNvCxnSpPr>
          <a:cxnSpLocks noChangeShapeType="1"/>
        </xdr:cNvCxnSpPr>
      </xdr:nvCxnSpPr>
      <xdr:spPr bwMode="auto">
        <a:xfrm>
          <a:off x="8410575" y="2628900"/>
          <a:ext cx="0" cy="381000"/>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1"/>
  <sheetViews>
    <sheetView showGridLines="0" tabSelected="1" zoomScaleNormal="100" workbookViewId="0">
      <selection activeCell="D21" sqref="D21"/>
    </sheetView>
  </sheetViews>
  <sheetFormatPr defaultRowHeight="13.5" x14ac:dyDescent="0.15"/>
  <cols>
    <col min="1" max="1" width="2.625" customWidth="1"/>
    <col min="2" max="2" width="3.625" customWidth="1"/>
    <col min="3" max="3" width="15.625" style="160" customWidth="1"/>
    <col min="4" max="4" width="45.625" customWidth="1"/>
    <col min="5" max="5" width="10.625" customWidth="1"/>
    <col min="6" max="6" width="5.625" customWidth="1"/>
    <col min="7" max="7" width="2.625" customWidth="1"/>
    <col min="8" max="8" width="18.375" hidden="1" customWidth="1"/>
    <col min="9" max="9" width="45.5" hidden="1" customWidth="1"/>
    <col min="10" max="10" width="13.375" hidden="1" customWidth="1"/>
    <col min="11" max="11" width="9.125" hidden="1" customWidth="1"/>
    <col min="12" max="12" width="28.75" hidden="1" customWidth="1"/>
    <col min="13" max="14" width="3.625" customWidth="1"/>
  </cols>
  <sheetData>
    <row r="1" spans="1:12" x14ac:dyDescent="0.15">
      <c r="A1" s="115"/>
      <c r="B1" s="242" t="s">
        <v>301</v>
      </c>
      <c r="C1" s="242"/>
      <c r="D1" s="242"/>
      <c r="E1" s="242"/>
      <c r="F1" s="242"/>
      <c r="G1" s="116"/>
      <c r="H1" s="156"/>
    </row>
    <row r="2" spans="1:12" x14ac:dyDescent="0.15">
      <c r="A2" s="115"/>
      <c r="B2" s="242" t="s">
        <v>259</v>
      </c>
      <c r="C2" s="242"/>
      <c r="D2" s="242"/>
      <c r="E2" s="242"/>
      <c r="F2" s="242"/>
      <c r="G2" s="116"/>
      <c r="H2" s="156"/>
    </row>
    <row r="3" spans="1:12" x14ac:dyDescent="0.15">
      <c r="A3" s="115"/>
      <c r="B3" s="242" t="s">
        <v>260</v>
      </c>
      <c r="C3" s="242"/>
      <c r="D3" s="242"/>
      <c r="E3" s="242"/>
      <c r="F3" s="242"/>
      <c r="G3" s="116"/>
      <c r="H3" s="156"/>
    </row>
    <row r="4" spans="1:12" x14ac:dyDescent="0.15">
      <c r="A4" s="115"/>
      <c r="B4" s="243" t="s">
        <v>261</v>
      </c>
      <c r="C4" s="243"/>
      <c r="D4" s="243"/>
      <c r="E4" s="243"/>
      <c r="F4" s="243"/>
      <c r="G4" s="117"/>
      <c r="H4" s="157"/>
    </row>
    <row r="5" spans="1:12" x14ac:dyDescent="0.15">
      <c r="A5" s="115"/>
      <c r="B5" s="253"/>
      <c r="C5" s="253"/>
      <c r="D5" s="253"/>
      <c r="E5" s="253"/>
      <c r="F5" s="253"/>
      <c r="G5" s="116"/>
      <c r="H5" s="1"/>
    </row>
    <row r="6" spans="1:12" ht="14.25" thickBot="1" x14ac:dyDescent="0.2">
      <c r="A6" s="115"/>
      <c r="B6" s="253"/>
      <c r="C6" s="253"/>
      <c r="D6" s="253"/>
      <c r="E6" s="253"/>
      <c r="F6" s="253"/>
      <c r="G6" s="116"/>
      <c r="H6" s="1"/>
    </row>
    <row r="7" spans="1:12" ht="12" customHeight="1" x14ac:dyDescent="0.15">
      <c r="A7" s="115"/>
      <c r="B7" s="254"/>
      <c r="C7" s="255"/>
      <c r="D7" s="255"/>
      <c r="E7" s="255"/>
      <c r="F7" s="256"/>
      <c r="G7" s="116"/>
      <c r="H7" s="1"/>
    </row>
    <row r="8" spans="1:12" ht="12" customHeight="1" x14ac:dyDescent="0.15">
      <c r="A8" s="115"/>
      <c r="B8" s="257"/>
      <c r="C8" s="253"/>
      <c r="D8" s="253"/>
      <c r="E8" s="253"/>
      <c r="F8" s="258"/>
      <c r="G8" s="116"/>
      <c r="H8" s="1"/>
    </row>
    <row r="9" spans="1:12" ht="12" customHeight="1" x14ac:dyDescent="0.15">
      <c r="A9" s="115"/>
      <c r="B9" s="118"/>
      <c r="C9" s="119"/>
      <c r="D9" s="115"/>
      <c r="E9" s="115"/>
      <c r="F9" s="120"/>
      <c r="G9" s="115"/>
    </row>
    <row r="10" spans="1:12" ht="24" customHeight="1" x14ac:dyDescent="0.2">
      <c r="A10" s="115"/>
      <c r="B10" s="249" t="s">
        <v>262</v>
      </c>
      <c r="C10" s="250"/>
      <c r="D10" s="250"/>
      <c r="E10" s="250"/>
      <c r="F10" s="251"/>
      <c r="G10" s="115"/>
    </row>
    <row r="11" spans="1:12" ht="24" customHeight="1" x14ac:dyDescent="0.15">
      <c r="A11" s="115"/>
      <c r="B11" s="118"/>
      <c r="C11" s="121" t="s">
        <v>263</v>
      </c>
      <c r="D11" s="121" t="s">
        <v>264</v>
      </c>
      <c r="E11" s="115"/>
      <c r="F11" s="120"/>
      <c r="G11" s="115"/>
      <c r="H11" s="158" t="s">
        <v>265</v>
      </c>
      <c r="I11" s="2" t="s">
        <v>286</v>
      </c>
      <c r="J11" s="2" t="s">
        <v>287</v>
      </c>
      <c r="K11" s="2" t="s">
        <v>99</v>
      </c>
      <c r="L11" s="2" t="s">
        <v>193</v>
      </c>
    </row>
    <row r="12" spans="1:12" ht="24" customHeight="1" x14ac:dyDescent="0.15">
      <c r="A12" s="115"/>
      <c r="B12" s="118"/>
      <c r="C12" s="119" t="s">
        <v>266</v>
      </c>
      <c r="D12" s="123"/>
      <c r="E12" s="122" t="s">
        <v>399</v>
      </c>
      <c r="F12" s="120"/>
      <c r="G12" s="115"/>
      <c r="H12" s="3" t="s">
        <v>33</v>
      </c>
      <c r="I12" s="133" t="s">
        <v>278</v>
      </c>
      <c r="J12" s="61" t="s">
        <v>110</v>
      </c>
      <c r="K12" s="61" t="s">
        <v>181</v>
      </c>
      <c r="L12" s="61" t="s">
        <v>183</v>
      </c>
    </row>
    <row r="13" spans="1:12" ht="24" customHeight="1" x14ac:dyDescent="0.15">
      <c r="A13" s="115"/>
      <c r="B13" s="118"/>
      <c r="C13" s="119" t="s">
        <v>267</v>
      </c>
      <c r="D13" s="123"/>
      <c r="E13" s="115"/>
      <c r="F13" s="120"/>
      <c r="G13" s="115"/>
      <c r="H13" s="3" t="s">
        <v>36</v>
      </c>
      <c r="I13" s="133" t="s">
        <v>279</v>
      </c>
      <c r="J13" s="61" t="s">
        <v>110</v>
      </c>
      <c r="K13" s="61" t="s">
        <v>181</v>
      </c>
      <c r="L13" s="38" t="s">
        <v>184</v>
      </c>
    </row>
    <row r="14" spans="1:12" ht="24" customHeight="1" x14ac:dyDescent="0.15">
      <c r="A14" s="115"/>
      <c r="B14" s="118"/>
      <c r="C14" s="124" t="s">
        <v>268</v>
      </c>
      <c r="D14" s="123" t="s">
        <v>316</v>
      </c>
      <c r="E14" s="115"/>
      <c r="F14" s="120"/>
      <c r="G14" s="115"/>
      <c r="H14" s="3" t="s">
        <v>37</v>
      </c>
      <c r="I14" s="133" t="s">
        <v>280</v>
      </c>
      <c r="J14" s="61" t="s">
        <v>110</v>
      </c>
      <c r="K14" s="38" t="s">
        <v>190</v>
      </c>
      <c r="L14" s="38" t="s">
        <v>186</v>
      </c>
    </row>
    <row r="15" spans="1:12" ht="24" customHeight="1" x14ac:dyDescent="0.15">
      <c r="A15" s="115"/>
      <c r="B15" s="125" t="s">
        <v>269</v>
      </c>
      <c r="C15" s="119" t="s">
        <v>270</v>
      </c>
      <c r="D15" s="123">
        <v>50</v>
      </c>
      <c r="E15" s="244" t="str">
        <f>IF(D14="学校給食","店舗全面積での選定はできません。","")</f>
        <v/>
      </c>
      <c r="F15" s="245"/>
      <c r="G15" s="115"/>
      <c r="H15" s="3" t="s">
        <v>271</v>
      </c>
      <c r="I15" s="133" t="s">
        <v>281</v>
      </c>
      <c r="J15" s="61" t="s">
        <v>110</v>
      </c>
      <c r="K15" s="38" t="s">
        <v>190</v>
      </c>
      <c r="L15" s="38" t="s">
        <v>184</v>
      </c>
    </row>
    <row r="16" spans="1:12" ht="24" customHeight="1" x14ac:dyDescent="0.15">
      <c r="A16" s="115"/>
      <c r="B16" s="125" t="s">
        <v>269</v>
      </c>
      <c r="C16" s="119" t="s">
        <v>272</v>
      </c>
      <c r="D16" s="123"/>
      <c r="E16" s="115"/>
      <c r="F16" s="120"/>
      <c r="G16" s="115"/>
      <c r="H16" s="3" t="s">
        <v>273</v>
      </c>
      <c r="I16" s="133" t="s">
        <v>282</v>
      </c>
      <c r="J16" s="61" t="s">
        <v>110</v>
      </c>
      <c r="K16" s="38" t="s">
        <v>190</v>
      </c>
      <c r="L16" s="38" t="s">
        <v>109</v>
      </c>
    </row>
    <row r="17" spans="1:12" ht="24" customHeight="1" x14ac:dyDescent="0.15">
      <c r="A17" s="115"/>
      <c r="B17" s="118"/>
      <c r="C17" s="119"/>
      <c r="D17" s="252" t="s">
        <v>274</v>
      </c>
      <c r="E17" s="252"/>
      <c r="F17" s="120"/>
      <c r="G17" s="115"/>
      <c r="H17" s="3" t="s">
        <v>38</v>
      </c>
      <c r="I17" s="133" t="s">
        <v>487</v>
      </c>
      <c r="J17" s="61" t="s">
        <v>110</v>
      </c>
      <c r="K17" s="38" t="s">
        <v>190</v>
      </c>
      <c r="L17" s="84" t="s">
        <v>488</v>
      </c>
    </row>
    <row r="18" spans="1:12" ht="24" customHeight="1" x14ac:dyDescent="0.15">
      <c r="A18" s="115"/>
      <c r="B18" s="118"/>
      <c r="C18" s="119"/>
      <c r="D18" s="134" t="s">
        <v>291</v>
      </c>
      <c r="E18" s="134"/>
      <c r="F18" s="120"/>
      <c r="G18" s="115"/>
      <c r="H18" s="3" t="s">
        <v>39</v>
      </c>
      <c r="I18" s="133" t="s">
        <v>346</v>
      </c>
      <c r="J18" s="61" t="s">
        <v>110</v>
      </c>
      <c r="K18" s="38" t="s">
        <v>190</v>
      </c>
      <c r="L18" s="84" t="s">
        <v>345</v>
      </c>
    </row>
    <row r="19" spans="1:12" ht="24" customHeight="1" x14ac:dyDescent="0.2">
      <c r="A19" s="115"/>
      <c r="B19" s="246" t="s">
        <v>275</v>
      </c>
      <c r="C19" s="247"/>
      <c r="D19" s="247"/>
      <c r="E19" s="247"/>
      <c r="F19" s="248"/>
      <c r="G19" s="115"/>
      <c r="H19" s="3" t="s">
        <v>276</v>
      </c>
      <c r="I19" s="133" t="s">
        <v>347</v>
      </c>
      <c r="J19" s="61" t="s">
        <v>110</v>
      </c>
      <c r="K19" s="38" t="s">
        <v>190</v>
      </c>
      <c r="L19" s="84" t="s">
        <v>344</v>
      </c>
    </row>
    <row r="20" spans="1:12" ht="24" customHeight="1" x14ac:dyDescent="0.15">
      <c r="A20" s="115"/>
      <c r="B20" s="118"/>
      <c r="C20" s="121" t="s">
        <v>263</v>
      </c>
      <c r="D20" s="121" t="s">
        <v>264</v>
      </c>
      <c r="E20" s="115"/>
      <c r="F20" s="120"/>
      <c r="G20" s="115"/>
      <c r="H20" s="3" t="s">
        <v>316</v>
      </c>
      <c r="I20" s="133" t="s">
        <v>407</v>
      </c>
      <c r="J20" s="61" t="s">
        <v>110</v>
      </c>
      <c r="K20" s="38" t="s">
        <v>190</v>
      </c>
      <c r="L20" s="84" t="s">
        <v>195</v>
      </c>
    </row>
    <row r="21" spans="1:12" ht="24" customHeight="1" x14ac:dyDescent="0.15">
      <c r="A21" s="115"/>
      <c r="B21" s="118"/>
      <c r="C21" s="132" t="s">
        <v>286</v>
      </c>
      <c r="D21" s="162" t="s">
        <v>283</v>
      </c>
      <c r="E21" s="115"/>
      <c r="F21" s="120"/>
      <c r="G21" s="115"/>
      <c r="H21" s="158" t="s">
        <v>317</v>
      </c>
      <c r="I21" s="133" t="s">
        <v>408</v>
      </c>
      <c r="J21" s="61" t="s">
        <v>110</v>
      </c>
      <c r="K21" s="61" t="s">
        <v>181</v>
      </c>
      <c r="L21" s="84" t="s">
        <v>195</v>
      </c>
    </row>
    <row r="22" spans="1:12" ht="24" customHeight="1" x14ac:dyDescent="0.15">
      <c r="A22" s="159"/>
      <c r="B22" s="118"/>
      <c r="C22" s="119"/>
      <c r="D22" s="115" t="s">
        <v>303</v>
      </c>
      <c r="E22" s="130"/>
      <c r="F22" s="120"/>
      <c r="G22" s="159"/>
      <c r="H22" s="158" t="s">
        <v>318</v>
      </c>
      <c r="I22" s="133" t="s">
        <v>298</v>
      </c>
      <c r="J22" s="38" t="s">
        <v>300</v>
      </c>
      <c r="K22" s="61" t="s">
        <v>181</v>
      </c>
      <c r="L22" s="38" t="s">
        <v>186</v>
      </c>
    </row>
    <row r="23" spans="1:12" ht="24" customHeight="1" thickBot="1" x14ac:dyDescent="0.2">
      <c r="A23" s="159"/>
      <c r="B23" s="126"/>
      <c r="C23" s="127"/>
      <c r="D23" s="161" t="s">
        <v>302</v>
      </c>
      <c r="E23" s="128"/>
      <c r="F23" s="129"/>
      <c r="G23" s="159"/>
      <c r="H23" s="158"/>
      <c r="I23" s="133" t="s">
        <v>299</v>
      </c>
      <c r="J23" s="38" t="s">
        <v>300</v>
      </c>
      <c r="K23" s="38" t="s">
        <v>190</v>
      </c>
      <c r="L23" s="38" t="s">
        <v>186</v>
      </c>
    </row>
    <row r="24" spans="1:12" ht="24" customHeight="1" x14ac:dyDescent="0.15">
      <c r="I24" s="133"/>
      <c r="J24" s="133"/>
      <c r="K24" s="133"/>
      <c r="L24" s="133"/>
    </row>
    <row r="25" spans="1:12" ht="24" customHeight="1" x14ac:dyDescent="0.15">
      <c r="I25" s="133" t="s">
        <v>283</v>
      </c>
      <c r="J25" s="38" t="s">
        <v>111</v>
      </c>
      <c r="K25" s="61" t="s">
        <v>181</v>
      </c>
      <c r="L25" s="38" t="s">
        <v>184</v>
      </c>
    </row>
    <row r="26" spans="1:12" ht="24" customHeight="1" x14ac:dyDescent="0.15">
      <c r="I26" s="133" t="s">
        <v>284</v>
      </c>
      <c r="J26" s="38" t="s">
        <v>111</v>
      </c>
      <c r="K26" s="38" t="s">
        <v>190</v>
      </c>
      <c r="L26" s="38" t="s">
        <v>184</v>
      </c>
    </row>
    <row r="27" spans="1:12" ht="24" customHeight="1" x14ac:dyDescent="0.15">
      <c r="I27" s="133" t="s">
        <v>285</v>
      </c>
      <c r="J27" s="38" t="s">
        <v>111</v>
      </c>
      <c r="K27" s="38" t="s">
        <v>190</v>
      </c>
      <c r="L27" s="38" t="s">
        <v>109</v>
      </c>
    </row>
    <row r="28" spans="1:12" ht="24" customHeight="1" x14ac:dyDescent="0.15">
      <c r="I28" s="133" t="s">
        <v>354</v>
      </c>
      <c r="J28" s="38" t="s">
        <v>111</v>
      </c>
      <c r="K28" s="38" t="s">
        <v>190</v>
      </c>
      <c r="L28" s="84" t="s">
        <v>344</v>
      </c>
    </row>
    <row r="29" spans="1:12" ht="24" customHeight="1" x14ac:dyDescent="0.15">
      <c r="I29" s="133" t="s">
        <v>405</v>
      </c>
      <c r="J29" s="38" t="s">
        <v>111</v>
      </c>
      <c r="K29" s="38" t="s">
        <v>190</v>
      </c>
      <c r="L29" s="84" t="s">
        <v>195</v>
      </c>
    </row>
    <row r="30" spans="1:12" ht="24" customHeight="1" x14ac:dyDescent="0.15">
      <c r="I30" s="133" t="s">
        <v>406</v>
      </c>
      <c r="J30" s="38" t="s">
        <v>111</v>
      </c>
      <c r="K30" s="61" t="s">
        <v>181</v>
      </c>
      <c r="L30" s="84" t="s">
        <v>195</v>
      </c>
    </row>
    <row r="31" spans="1:12" ht="24" customHeight="1" x14ac:dyDescent="0.15"/>
    <row r="32" spans="1:12"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row r="45" ht="24" customHeight="1" x14ac:dyDescent="0.15"/>
    <row r="46" ht="24" customHeight="1" x14ac:dyDescent="0.15"/>
    <row r="47" ht="24" customHeight="1" x14ac:dyDescent="0.15"/>
    <row r="48" ht="24" customHeight="1" x14ac:dyDescent="0.15"/>
    <row r="49" ht="24" customHeight="1" x14ac:dyDescent="0.15"/>
    <row r="50" ht="24" customHeight="1" x14ac:dyDescent="0.15"/>
    <row r="51" ht="24" customHeight="1" x14ac:dyDescent="0.15"/>
  </sheetData>
  <sheetProtection algorithmName="SHA-512" hashValue="r4lllM4YlL3M0+9HB3+Dzm9FTQV3G6iuvxQSwN+R23eArqU1jGtFCH0rDn3TUR07t1DipQ6MFI5AxaOgzlMzHg==" saltValue="OhqhaEA6uA/BvGkhmtub4g==" spinCount="100000" sheet="1"/>
  <mergeCells count="12">
    <mergeCell ref="B19:F19"/>
    <mergeCell ref="B10:F10"/>
    <mergeCell ref="D17:E17"/>
    <mergeCell ref="B5:F5"/>
    <mergeCell ref="B6:F6"/>
    <mergeCell ref="B7:F7"/>
    <mergeCell ref="B8:F8"/>
    <mergeCell ref="B1:F1"/>
    <mergeCell ref="B2:F2"/>
    <mergeCell ref="B3:F3"/>
    <mergeCell ref="B4:F4"/>
    <mergeCell ref="E15:F15"/>
  </mergeCells>
  <phoneticPr fontId="2"/>
  <dataValidations count="3">
    <dataValidation type="list" allowBlank="1" showInputMessage="1" showErrorMessage="1" sqref="D14" xr:uid="{00000000-0002-0000-0000-000000000000}">
      <formula1>$H$12:$H$22</formula1>
    </dataValidation>
    <dataValidation type="list" allowBlank="1" showInputMessage="1" showErrorMessage="1" sqref="E12" xr:uid="{00000000-0002-0000-0000-000001000000}">
      <formula1>"敬称を選択,　,様,御中"</formula1>
    </dataValidation>
    <dataValidation type="list" allowBlank="1" showInputMessage="1" showErrorMessage="1" sqref="D21" xr:uid="{00000000-0002-0000-0000-000002000000}">
      <formula1>$I$12:$I$30</formula1>
    </dataValidation>
  </dataValidations>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AC73"/>
  <sheetViews>
    <sheetView showGridLines="0" topLeftCell="A13" zoomScale="70" zoomScaleNormal="70" workbookViewId="0">
      <selection activeCell="AF15" sqref="AF15"/>
    </sheetView>
  </sheetViews>
  <sheetFormatPr defaultRowHeight="13.5" x14ac:dyDescent="0.15"/>
  <cols>
    <col min="1" max="1" width="2.25" customWidth="1"/>
    <col min="2" max="2" width="3.375" bestFit="1" customWidth="1"/>
    <col min="3" max="3" width="4.375" style="1" customWidth="1"/>
    <col min="4" max="4" width="49.125" style="1" customWidth="1"/>
    <col min="5" max="5" width="17.375" customWidth="1"/>
    <col min="6" max="6" width="10.25" customWidth="1"/>
    <col min="7" max="7" width="21.375" customWidth="1"/>
    <col min="8" max="8" width="2.25" customWidth="1"/>
    <col min="9" max="9" width="9.125" hidden="1" customWidth="1"/>
    <col min="10" max="10" width="2.25" hidden="1" customWidth="1"/>
    <col min="11" max="11" width="4.25" hidden="1" customWidth="1"/>
    <col min="12" max="12" width="24.5" hidden="1" customWidth="1"/>
    <col min="13" max="29" width="10.625" hidden="1" customWidth="1"/>
  </cols>
  <sheetData>
    <row r="2" spans="2:23" ht="17.25" x14ac:dyDescent="0.2">
      <c r="B2" s="20" t="s">
        <v>80</v>
      </c>
      <c r="C2" s="20"/>
      <c r="D2" s="20"/>
      <c r="E2" s="20"/>
      <c r="F2" s="20"/>
      <c r="G2" s="20"/>
    </row>
    <row r="3" spans="2:23" hidden="1" x14ac:dyDescent="0.15">
      <c r="B3" t="s">
        <v>81</v>
      </c>
      <c r="C3" s="18" t="s">
        <v>213</v>
      </c>
      <c r="D3" s="18"/>
      <c r="E3" s="18"/>
      <c r="F3" s="18"/>
      <c r="G3" s="18"/>
    </row>
    <row r="4" spans="2:23" x14ac:dyDescent="0.15">
      <c r="B4" t="s">
        <v>81</v>
      </c>
      <c r="C4" s="19" t="s">
        <v>214</v>
      </c>
      <c r="D4" s="19"/>
      <c r="E4" s="19"/>
      <c r="F4" s="19"/>
      <c r="G4" s="19"/>
    </row>
    <row r="5" spans="2:23" hidden="1" x14ac:dyDescent="0.15">
      <c r="B5" t="s">
        <v>81</v>
      </c>
      <c r="C5" t="s">
        <v>157</v>
      </c>
      <c r="D5"/>
    </row>
    <row r="7" spans="2:23" ht="26.25" customHeight="1" x14ac:dyDescent="0.15">
      <c r="B7" s="259" t="s">
        <v>229</v>
      </c>
      <c r="C7" s="259"/>
      <c r="D7" s="259"/>
      <c r="E7" s="259"/>
      <c r="F7" s="259"/>
      <c r="G7" s="111">
        <f ca="1">TODAY()</f>
        <v>45223</v>
      </c>
      <c r="K7" s="181" t="s">
        <v>323</v>
      </c>
      <c r="L7" s="181" t="s">
        <v>324</v>
      </c>
      <c r="M7" s="181" t="s">
        <v>325</v>
      </c>
    </row>
    <row r="8" spans="2:23" ht="17.25" x14ac:dyDescent="0.2">
      <c r="B8" s="112"/>
      <c r="C8" s="113"/>
      <c r="D8" s="152">
        <f>条件入力!D12</f>
        <v>0</v>
      </c>
      <c r="E8" s="153" t="str">
        <f>条件入力!E12</f>
        <v>　</v>
      </c>
      <c r="F8" s="266"/>
      <c r="G8" s="266"/>
      <c r="K8" s="182">
        <f ca="1">IF(ISERROR(M8),0,IF(M8="-",0,1))</f>
        <v>0</v>
      </c>
      <c r="L8" s="183" t="s">
        <v>326</v>
      </c>
      <c r="M8" s="182" t="str">
        <f ca="1">OFFSET(L33,MATCH(E16,L34:L43,0),MATCH(E17,M33:AC33,0))</f>
        <v>-</v>
      </c>
    </row>
    <row r="9" spans="2:23" ht="17.25" x14ac:dyDescent="0.2">
      <c r="B9" s="260" t="s">
        <v>107</v>
      </c>
      <c r="C9" s="260"/>
      <c r="D9" s="154">
        <f>条件入力!D13</f>
        <v>0</v>
      </c>
      <c r="E9" s="131"/>
      <c r="F9" s="262"/>
      <c r="G9" s="262"/>
      <c r="K9" s="182">
        <f ca="1">IF(K8=1,0,IF(E17&gt;1500,0,IF(ISERROR(M9),0,IF(M9="-",0,1))))</f>
        <v>0</v>
      </c>
      <c r="L9" s="183" t="s">
        <v>327</v>
      </c>
      <c r="M9" s="182" t="e">
        <f ca="1">OFFSET(L33,MATCH(E16,L34:L43,0),MATCH(E17,M33:AC33,1))+((E17-HLOOKUP(E17,M33:AC33,1))/(OFFSET(L33,0,MATCH(E17,M33:AC33,1)+1)-HLOOKUP(E17,M33:AC33,1)))*(OFFSET(L33,MATCH(E16,L34:L43,0),MATCH(E17,M33:AC33,1)+1)-OFFSET(L33,MATCH(E16,L34:L43,0),MATCH(E17,M33:AC33,1)))</f>
        <v>#VALUE!</v>
      </c>
    </row>
    <row r="10" spans="2:23" x14ac:dyDescent="0.15">
      <c r="B10" s="112"/>
      <c r="C10" s="113"/>
      <c r="D10" s="113"/>
      <c r="E10" s="131"/>
      <c r="F10" s="262"/>
      <c r="G10" s="262"/>
      <c r="K10" s="182">
        <f ca="1">IF(SUM(K8:K9)=0,1,0)</f>
        <v>1</v>
      </c>
      <c r="L10" s="183" t="s">
        <v>328</v>
      </c>
      <c r="M10" s="182">
        <f>VLOOKUP(E16,L19:W28,11,FALSE)</f>
        <v>1.1900551061628326</v>
      </c>
    </row>
    <row r="11" spans="2:23" x14ac:dyDescent="0.15">
      <c r="B11" s="112"/>
      <c r="C11" s="113"/>
      <c r="D11" s="112"/>
      <c r="E11" s="131"/>
      <c r="F11" s="262" t="s">
        <v>103</v>
      </c>
      <c r="G11" s="262"/>
    </row>
    <row r="12" spans="2:23" ht="17.25" x14ac:dyDescent="0.2">
      <c r="B12" s="20" t="s">
        <v>364</v>
      </c>
      <c r="C12" s="20"/>
      <c r="D12" s="20"/>
      <c r="E12" s="20"/>
      <c r="F12" s="20"/>
      <c r="G12" s="20"/>
    </row>
    <row r="13" spans="2:23" ht="3.75" customHeight="1" x14ac:dyDescent="0.15"/>
    <row r="14" spans="2:23" x14ac:dyDescent="0.15">
      <c r="B14" s="15" t="s">
        <v>62</v>
      </c>
      <c r="C14" s="15" t="s">
        <v>231</v>
      </c>
      <c r="D14" s="16"/>
      <c r="E14" s="16"/>
      <c r="F14" s="16"/>
      <c r="G14" s="16"/>
    </row>
    <row r="15" spans="2:23" x14ac:dyDescent="0.15">
      <c r="C15" s="21" t="s">
        <v>21</v>
      </c>
      <c r="D15" s="22" t="s">
        <v>22</v>
      </c>
      <c r="E15" s="22" t="s">
        <v>56</v>
      </c>
      <c r="F15" s="22" t="s">
        <v>23</v>
      </c>
      <c r="G15" s="23" t="s">
        <v>24</v>
      </c>
      <c r="I15" s="3" t="s">
        <v>82</v>
      </c>
      <c r="K15" s="14">
        <v>1</v>
      </c>
      <c r="L15" s="14">
        <v>2</v>
      </c>
      <c r="M15" s="14">
        <v>3</v>
      </c>
      <c r="N15" s="14">
        <v>4</v>
      </c>
      <c r="O15" s="14">
        <v>5</v>
      </c>
      <c r="P15" s="14">
        <v>6</v>
      </c>
      <c r="Q15" s="14">
        <v>7</v>
      </c>
      <c r="R15" s="14">
        <v>8</v>
      </c>
      <c r="S15" s="14">
        <v>9</v>
      </c>
      <c r="T15" s="14">
        <v>10</v>
      </c>
      <c r="U15" s="14">
        <v>11</v>
      </c>
      <c r="V15" s="14">
        <v>12</v>
      </c>
      <c r="W15" s="14">
        <v>13</v>
      </c>
    </row>
    <row r="16" spans="2:23" x14ac:dyDescent="0.15">
      <c r="C16" s="21"/>
      <c r="D16" s="22" t="s">
        <v>14</v>
      </c>
      <c r="E16" s="151" t="str">
        <f>条件入力!D14</f>
        <v>社員・従業員食堂</v>
      </c>
      <c r="F16" s="22"/>
      <c r="G16" s="23" t="s">
        <v>84</v>
      </c>
      <c r="I16" s="3">
        <f>MATCH(E16,L19:L28,0)</f>
        <v>9</v>
      </c>
      <c r="K16" s="272" t="s">
        <v>12</v>
      </c>
      <c r="L16" s="168" t="s">
        <v>40</v>
      </c>
      <c r="M16" s="267" t="s">
        <v>41</v>
      </c>
      <c r="N16" s="267"/>
      <c r="O16" s="267"/>
      <c r="P16" s="267"/>
      <c r="Q16" s="267"/>
      <c r="R16" s="2" t="s">
        <v>42</v>
      </c>
      <c r="S16" s="267" t="s">
        <v>48</v>
      </c>
      <c r="T16" s="267"/>
      <c r="U16" s="267"/>
      <c r="V16" s="267"/>
      <c r="W16" s="3"/>
    </row>
    <row r="17" spans="2:29" ht="13.5" customHeight="1" x14ac:dyDescent="0.25">
      <c r="C17" s="135" t="s">
        <v>1</v>
      </c>
      <c r="D17" s="136" t="s">
        <v>11</v>
      </c>
      <c r="E17" s="136">
        <f>条件入力!D15</f>
        <v>50</v>
      </c>
      <c r="F17" s="136" t="s">
        <v>25</v>
      </c>
      <c r="G17" s="137" t="s">
        <v>277</v>
      </c>
      <c r="I17" s="3">
        <f>E17</f>
        <v>50</v>
      </c>
      <c r="K17" s="273"/>
      <c r="L17" s="172" t="s">
        <v>315</v>
      </c>
      <c r="M17" s="11" t="s">
        <v>15</v>
      </c>
      <c r="N17" s="11" t="s">
        <v>3</v>
      </c>
      <c r="O17" s="11" t="s">
        <v>4</v>
      </c>
      <c r="P17" s="11" t="s">
        <v>16</v>
      </c>
      <c r="Q17" s="11" t="s">
        <v>17</v>
      </c>
      <c r="R17" s="11" t="s">
        <v>43</v>
      </c>
      <c r="S17" s="11" t="s">
        <v>51</v>
      </c>
      <c r="T17" s="11" t="s">
        <v>52</v>
      </c>
      <c r="U17" s="11" t="s">
        <v>53</v>
      </c>
      <c r="V17" s="11" t="s">
        <v>20</v>
      </c>
      <c r="W17" s="11" t="s">
        <v>13</v>
      </c>
      <c r="X17" s="7"/>
    </row>
    <row r="18" spans="2:29" ht="17.25" x14ac:dyDescent="0.25">
      <c r="C18" s="21" t="s">
        <v>15</v>
      </c>
      <c r="D18" s="22" t="s">
        <v>7</v>
      </c>
      <c r="E18" s="24">
        <f>I18</f>
        <v>90</v>
      </c>
      <c r="F18" s="22" t="s">
        <v>27</v>
      </c>
      <c r="G18" s="23" t="s">
        <v>55</v>
      </c>
      <c r="I18" s="3">
        <f>VLOOKUP($I$16,$K$19:$W$28,3,0)</f>
        <v>90</v>
      </c>
      <c r="K18" s="274"/>
      <c r="L18" s="171" t="s">
        <v>265</v>
      </c>
      <c r="M18" s="12" t="s">
        <v>44</v>
      </c>
      <c r="N18" s="12" t="s">
        <v>45</v>
      </c>
      <c r="O18" s="12" t="s">
        <v>46</v>
      </c>
      <c r="P18" s="3" t="s">
        <v>85</v>
      </c>
      <c r="Q18" s="3" t="s">
        <v>85</v>
      </c>
      <c r="R18" s="12" t="s">
        <v>47</v>
      </c>
      <c r="S18" s="12" t="s">
        <v>26</v>
      </c>
      <c r="T18" s="12" t="s">
        <v>49</v>
      </c>
      <c r="U18" s="12" t="s">
        <v>50</v>
      </c>
      <c r="V18" s="12" t="s">
        <v>54</v>
      </c>
      <c r="W18" s="12" t="s">
        <v>54</v>
      </c>
      <c r="X18" s="7"/>
    </row>
    <row r="19" spans="2:29" ht="13.5" customHeight="1" x14ac:dyDescent="0.15">
      <c r="C19" s="21" t="s">
        <v>3</v>
      </c>
      <c r="D19" s="22" t="s">
        <v>57</v>
      </c>
      <c r="E19" s="37">
        <f>I19</f>
        <v>600</v>
      </c>
      <c r="F19" s="22" t="s">
        <v>28</v>
      </c>
      <c r="G19" s="23" t="str">
        <f>IF(E19=I19,"SHASE規格の標準値","受渡当事者間の打合せ")</f>
        <v>SHASE規格の標準値</v>
      </c>
      <c r="I19" s="3">
        <f>VLOOKUP($I$16,$K$19:$W$28,4,0)</f>
        <v>600</v>
      </c>
      <c r="K19" s="14">
        <v>1</v>
      </c>
      <c r="L19" s="3" t="s">
        <v>33</v>
      </c>
      <c r="M19" s="3">
        <v>130</v>
      </c>
      <c r="N19" s="3">
        <v>720</v>
      </c>
      <c r="O19" s="3">
        <v>3.5</v>
      </c>
      <c r="P19" s="184">
        <v>18</v>
      </c>
      <c r="Q19" s="184">
        <v>8</v>
      </c>
      <c r="R19" s="35">
        <v>80</v>
      </c>
      <c r="S19" s="5">
        <f>0.705*$I$17+4</f>
        <v>39.25</v>
      </c>
      <c r="T19" s="5">
        <f>0.655*S19+3.2</f>
        <v>28.908750000000001</v>
      </c>
      <c r="U19" s="5">
        <f t="shared" ref="U19:U28" si="0">$I$17*$M19/$R19</f>
        <v>81.25</v>
      </c>
      <c r="V19" s="5">
        <f>U19/T19</f>
        <v>2.8105677346824058</v>
      </c>
      <c r="W19" s="6">
        <v>5</v>
      </c>
      <c r="X19" s="9"/>
    </row>
    <row r="20" spans="2:29" x14ac:dyDescent="0.15">
      <c r="C20" s="21" t="s">
        <v>4</v>
      </c>
      <c r="D20" s="98" t="s">
        <v>8</v>
      </c>
      <c r="E20" s="25">
        <f>I20</f>
        <v>3.5</v>
      </c>
      <c r="F20" s="22" t="s">
        <v>30</v>
      </c>
      <c r="G20" s="23" t="s">
        <v>55</v>
      </c>
      <c r="I20" s="3">
        <f>VLOOKUP($I$16,$K$19:$W$28,5,0)</f>
        <v>3.5</v>
      </c>
      <c r="K20" s="14">
        <v>2</v>
      </c>
      <c r="L20" s="3" t="s">
        <v>36</v>
      </c>
      <c r="M20" s="3">
        <v>95</v>
      </c>
      <c r="N20" s="3">
        <v>720</v>
      </c>
      <c r="O20" s="3">
        <v>3.5</v>
      </c>
      <c r="P20" s="185">
        <v>9.5</v>
      </c>
      <c r="Q20" s="184">
        <v>3.5</v>
      </c>
      <c r="R20" s="35">
        <v>80</v>
      </c>
      <c r="S20" s="5">
        <f>0.784*$I$17-9.6</f>
        <v>29.6</v>
      </c>
      <c r="T20" s="5">
        <f>0.398*S20+34</f>
        <v>45.780799999999999</v>
      </c>
      <c r="U20" s="5">
        <f t="shared" si="0"/>
        <v>59.375</v>
      </c>
      <c r="V20" s="5">
        <f t="shared" ref="V20:V28" si="1">U20/T20</f>
        <v>1.2969410757348059</v>
      </c>
      <c r="W20" s="6">
        <v>4.5</v>
      </c>
      <c r="X20" s="9"/>
    </row>
    <row r="21" spans="2:29" ht="17.25" x14ac:dyDescent="0.25">
      <c r="C21" s="21" t="s">
        <v>16</v>
      </c>
      <c r="D21" s="22" t="s">
        <v>9</v>
      </c>
      <c r="E21" s="25">
        <f t="shared" ref="E21:E27" si="2">I21</f>
        <v>6.5</v>
      </c>
      <c r="F21" s="22" t="s">
        <v>85</v>
      </c>
      <c r="G21" s="23" t="s">
        <v>55</v>
      </c>
      <c r="I21" s="3">
        <f>VLOOKUP($I$16,$K$19:$W$28,6,0)</f>
        <v>6.5</v>
      </c>
      <c r="K21" s="14">
        <v>3</v>
      </c>
      <c r="L21" s="3" t="s">
        <v>37</v>
      </c>
      <c r="M21" s="3">
        <v>100</v>
      </c>
      <c r="N21" s="3">
        <v>720</v>
      </c>
      <c r="O21" s="3">
        <v>3.5</v>
      </c>
      <c r="P21" s="184">
        <v>7</v>
      </c>
      <c r="Q21" s="184">
        <v>2.5</v>
      </c>
      <c r="R21" s="35">
        <v>80</v>
      </c>
      <c r="S21" s="5">
        <f>0.828*$I$17-9.5</f>
        <v>31.9</v>
      </c>
      <c r="T21" s="5">
        <f>0.418*S21+23.3</f>
        <v>36.6342</v>
      </c>
      <c r="U21" s="5">
        <f t="shared" si="0"/>
        <v>62.5</v>
      </c>
      <c r="V21" s="5">
        <f t="shared" si="1"/>
        <v>1.7060560896648487</v>
      </c>
      <c r="W21" s="6">
        <v>5</v>
      </c>
      <c r="X21" s="9"/>
    </row>
    <row r="22" spans="2:29" ht="17.25" x14ac:dyDescent="0.25">
      <c r="C22" s="21" t="s">
        <v>17</v>
      </c>
      <c r="D22" s="22" t="s">
        <v>10</v>
      </c>
      <c r="E22" s="25">
        <f t="shared" si="2"/>
        <v>3</v>
      </c>
      <c r="F22" s="22" t="s">
        <v>86</v>
      </c>
      <c r="G22" s="23" t="s">
        <v>55</v>
      </c>
      <c r="I22" s="3">
        <f>VLOOKUP($I$16,$K$19:$W$28,7,0)</f>
        <v>3</v>
      </c>
      <c r="K22" s="14">
        <v>4</v>
      </c>
      <c r="L22" s="3" t="s">
        <v>34</v>
      </c>
      <c r="M22" s="3">
        <v>150</v>
      </c>
      <c r="N22" s="3">
        <v>720</v>
      </c>
      <c r="O22" s="3">
        <v>3.5</v>
      </c>
      <c r="P22" s="184">
        <v>19.5</v>
      </c>
      <c r="Q22" s="184">
        <v>7.5</v>
      </c>
      <c r="R22" s="35">
        <v>50</v>
      </c>
      <c r="S22" s="5">
        <f>0.942*$I$17-19.6</f>
        <v>27.499999999999993</v>
      </c>
      <c r="T22" s="5">
        <f>0.398*S22+37.5</f>
        <v>48.445</v>
      </c>
      <c r="U22" s="5">
        <f t="shared" si="0"/>
        <v>150</v>
      </c>
      <c r="V22" s="5">
        <f t="shared" si="1"/>
        <v>3.0962947672618433</v>
      </c>
      <c r="W22" s="6">
        <v>5</v>
      </c>
      <c r="X22" s="9"/>
    </row>
    <row r="23" spans="2:29" ht="16.5" x14ac:dyDescent="0.25">
      <c r="C23" s="21" t="s">
        <v>18</v>
      </c>
      <c r="D23" s="22" t="s">
        <v>58</v>
      </c>
      <c r="E23" s="37">
        <f t="shared" si="2"/>
        <v>7</v>
      </c>
      <c r="F23" s="22" t="s">
        <v>31</v>
      </c>
      <c r="G23" s="23" t="str">
        <f>IF(E23=I23,"工業会の統一設定条件","受渡当事者間の打合せ")</f>
        <v>工業会の統一設定条件</v>
      </c>
      <c r="I23" s="3">
        <v>7</v>
      </c>
      <c r="K23" s="14">
        <v>5</v>
      </c>
      <c r="L23" s="3" t="s">
        <v>35</v>
      </c>
      <c r="M23" s="3">
        <v>150</v>
      </c>
      <c r="N23" s="3">
        <v>720</v>
      </c>
      <c r="O23" s="3">
        <v>3.5</v>
      </c>
      <c r="P23" s="184">
        <v>9</v>
      </c>
      <c r="Q23" s="184">
        <v>3</v>
      </c>
      <c r="R23" s="35">
        <v>50</v>
      </c>
      <c r="S23" s="5">
        <f>0.942*$I$17-19.6</f>
        <v>27.499999999999993</v>
      </c>
      <c r="T23" s="5">
        <f>0.398*S23+37.5</f>
        <v>48.445</v>
      </c>
      <c r="U23" s="5">
        <f t="shared" si="0"/>
        <v>150</v>
      </c>
      <c r="V23" s="5">
        <f t="shared" si="1"/>
        <v>3.0962947672618433</v>
      </c>
      <c r="W23" s="6">
        <v>5</v>
      </c>
      <c r="X23" s="9"/>
    </row>
    <row r="24" spans="2:29" ht="16.5" x14ac:dyDescent="0.25">
      <c r="C24" s="21" t="s">
        <v>19</v>
      </c>
      <c r="D24" s="22" t="s">
        <v>59</v>
      </c>
      <c r="E24" s="37">
        <f t="shared" si="2"/>
        <v>30</v>
      </c>
      <c r="F24" s="22" t="s">
        <v>31</v>
      </c>
      <c r="G24" s="23" t="str">
        <f>IF(E24=I24,"工業会の統一設定条件","受渡当事者間の打合せ")</f>
        <v>工業会の統一設定条件</v>
      </c>
      <c r="I24" s="3">
        <v>30</v>
      </c>
      <c r="K24" s="14">
        <v>6</v>
      </c>
      <c r="L24" s="3" t="s">
        <v>38</v>
      </c>
      <c r="M24" s="3">
        <v>90</v>
      </c>
      <c r="N24" s="3">
        <v>720</v>
      </c>
      <c r="O24" s="3">
        <v>3.5</v>
      </c>
      <c r="P24" s="184">
        <v>6</v>
      </c>
      <c r="Q24" s="184">
        <v>2</v>
      </c>
      <c r="R24" s="35">
        <v>45</v>
      </c>
      <c r="S24" s="5">
        <f>0.862*$I$17-20.9</f>
        <v>22.200000000000003</v>
      </c>
      <c r="T24" s="5">
        <f>0.429*S24+14.9</f>
        <v>24.4238</v>
      </c>
      <c r="U24" s="5">
        <f t="shared" si="0"/>
        <v>100</v>
      </c>
      <c r="V24" s="5">
        <f t="shared" si="1"/>
        <v>4.0943669699227803</v>
      </c>
      <c r="W24" s="6">
        <v>7</v>
      </c>
      <c r="X24" s="9"/>
    </row>
    <row r="25" spans="2:29" x14ac:dyDescent="0.15">
      <c r="C25" s="21" t="s">
        <v>2</v>
      </c>
      <c r="D25" s="22" t="s">
        <v>60</v>
      </c>
      <c r="E25" s="114">
        <f>I25</f>
        <v>4</v>
      </c>
      <c r="F25" s="22" t="s">
        <v>32</v>
      </c>
      <c r="G25" s="23" t="str">
        <f>IF(E25=I25,"SHASE規格の標準値","受渡当事者間の打合せ")</f>
        <v>SHASE規格の標準値</v>
      </c>
      <c r="I25" s="3">
        <f>VLOOKUP($I$16,$K$19:$W$28,13,0)</f>
        <v>4</v>
      </c>
      <c r="K25" s="14">
        <v>7</v>
      </c>
      <c r="L25" s="3" t="s">
        <v>39</v>
      </c>
      <c r="M25" s="3">
        <v>85</v>
      </c>
      <c r="N25" s="3">
        <v>720</v>
      </c>
      <c r="O25" s="3">
        <v>3.5</v>
      </c>
      <c r="P25" s="184">
        <v>3.5</v>
      </c>
      <c r="Q25" s="184">
        <v>1.5</v>
      </c>
      <c r="R25" s="35">
        <v>25</v>
      </c>
      <c r="S25" s="5">
        <f>0.857*$I$17-5.9</f>
        <v>36.950000000000003</v>
      </c>
      <c r="T25" s="5">
        <f>0.573*S25+14.4</f>
        <v>35.57235</v>
      </c>
      <c r="U25" s="5">
        <f t="shared" si="0"/>
        <v>170</v>
      </c>
      <c r="V25" s="5">
        <f t="shared" si="1"/>
        <v>4.778992672679764</v>
      </c>
      <c r="W25" s="6">
        <v>8</v>
      </c>
      <c r="X25" s="9"/>
    </row>
    <row r="26" spans="2:29" ht="16.5" x14ac:dyDescent="0.25">
      <c r="C26" s="21" t="s">
        <v>20</v>
      </c>
      <c r="D26" s="22" t="s">
        <v>61</v>
      </c>
      <c r="E26" s="22">
        <f ca="1">ROUND(I26,1)</f>
        <v>1.2</v>
      </c>
      <c r="F26" s="22" t="s">
        <v>32</v>
      </c>
      <c r="G26" s="23" t="str">
        <f ca="1">IF(E26=ROUND(I26,1),"SHASE規格より算出","")</f>
        <v>SHASE規格より算出</v>
      </c>
      <c r="I26" s="3">
        <f ca="1">VLOOKUP(1,K8:M10,3,0)</f>
        <v>1.1900551061628326</v>
      </c>
      <c r="K26" s="14">
        <v>8</v>
      </c>
      <c r="L26" s="3" t="s">
        <v>6</v>
      </c>
      <c r="M26" s="3">
        <v>20</v>
      </c>
      <c r="N26" s="3">
        <v>720</v>
      </c>
      <c r="O26" s="3">
        <v>3.5</v>
      </c>
      <c r="P26" s="184">
        <v>3</v>
      </c>
      <c r="Q26" s="184">
        <v>1</v>
      </c>
      <c r="R26" s="35">
        <v>10</v>
      </c>
      <c r="S26" s="5">
        <f>0.862*$I$17-20.9</f>
        <v>22.200000000000003</v>
      </c>
      <c r="T26" s="5">
        <f>0.429*S26+14.9</f>
        <v>24.4238</v>
      </c>
      <c r="U26" s="5">
        <f t="shared" si="0"/>
        <v>100</v>
      </c>
      <c r="V26" s="5">
        <f t="shared" si="1"/>
        <v>4.0943669699227803</v>
      </c>
      <c r="W26" s="6">
        <v>8</v>
      </c>
      <c r="X26" s="9"/>
    </row>
    <row r="27" spans="2:29" ht="16.5" x14ac:dyDescent="0.25">
      <c r="C27" s="21" t="s">
        <v>71</v>
      </c>
      <c r="D27" s="22" t="s">
        <v>72</v>
      </c>
      <c r="E27" s="26">
        <f t="shared" si="2"/>
        <v>1E-3</v>
      </c>
      <c r="F27" s="22" t="s">
        <v>77</v>
      </c>
      <c r="G27" s="23" t="s">
        <v>72</v>
      </c>
      <c r="I27" s="3">
        <v>1E-3</v>
      </c>
      <c r="K27" s="14">
        <v>9</v>
      </c>
      <c r="L27" s="3" t="s">
        <v>316</v>
      </c>
      <c r="M27" s="3">
        <v>90</v>
      </c>
      <c r="N27" s="3">
        <v>600</v>
      </c>
      <c r="O27" s="3">
        <v>3.5</v>
      </c>
      <c r="P27" s="184">
        <v>6.5</v>
      </c>
      <c r="Q27" s="184">
        <v>3</v>
      </c>
      <c r="R27" s="35">
        <v>50</v>
      </c>
      <c r="S27" s="5">
        <f>0.833*$I$17-46.9</f>
        <v>-5.25</v>
      </c>
      <c r="T27" s="5">
        <f>0.433*S27+77.9</f>
        <v>75.626750000000001</v>
      </c>
      <c r="U27" s="5">
        <f t="shared" si="0"/>
        <v>90</v>
      </c>
      <c r="V27" s="5">
        <f t="shared" si="1"/>
        <v>1.1900551061628326</v>
      </c>
      <c r="W27" s="6">
        <v>4</v>
      </c>
      <c r="X27" s="9"/>
    </row>
    <row r="28" spans="2:29" x14ac:dyDescent="0.15">
      <c r="C28" s="33" t="s">
        <v>235</v>
      </c>
      <c r="D28" t="s">
        <v>234</v>
      </c>
      <c r="K28" s="14">
        <v>10</v>
      </c>
      <c r="L28" s="182" t="s">
        <v>317</v>
      </c>
      <c r="M28" s="3">
        <v>45</v>
      </c>
      <c r="N28" s="3">
        <v>600</v>
      </c>
      <c r="O28" s="3">
        <v>3.5</v>
      </c>
      <c r="P28" s="184">
        <v>3</v>
      </c>
      <c r="Q28" s="184">
        <v>1</v>
      </c>
      <c r="R28" s="35">
        <v>25</v>
      </c>
      <c r="S28" s="5">
        <f>0.833*$I$17-46.9</f>
        <v>-5.25</v>
      </c>
      <c r="T28" s="5">
        <f>0.433*S28+77.9</f>
        <v>75.626750000000001</v>
      </c>
      <c r="U28" s="5">
        <f t="shared" si="0"/>
        <v>90</v>
      </c>
      <c r="V28" s="5">
        <f t="shared" si="1"/>
        <v>1.1900551061628326</v>
      </c>
      <c r="W28" s="6">
        <v>4</v>
      </c>
    </row>
    <row r="29" spans="2:29" x14ac:dyDescent="0.15">
      <c r="C29" t="s">
        <v>236</v>
      </c>
      <c r="D29" s="100" t="str">
        <f ca="1">IF(E26=ROUND(I26,1),"補正回転数は、SHASE規格解説（面積ごとの）算出式より算出した値を使用しております。","補正回転数の根拠を書いてください。")</f>
        <v>補正回転数は、SHASE規格解説（面積ごとの）算出式より算出した値を使用しております。</v>
      </c>
      <c r="E29" s="19"/>
      <c r="F29" s="19"/>
      <c r="G29" s="19"/>
    </row>
    <row r="30" spans="2:29" x14ac:dyDescent="0.15">
      <c r="K30" t="s">
        <v>319</v>
      </c>
    </row>
    <row r="31" spans="2:29" x14ac:dyDescent="0.15">
      <c r="B31" s="15" t="s">
        <v>63</v>
      </c>
      <c r="C31" s="15" t="s">
        <v>87</v>
      </c>
      <c r="D31" s="16"/>
      <c r="E31" s="16"/>
      <c r="F31" s="16"/>
      <c r="G31" s="16"/>
      <c r="K31" s="268"/>
      <c r="L31" s="173" t="s">
        <v>315</v>
      </c>
      <c r="M31" s="267" t="s">
        <v>320</v>
      </c>
      <c r="N31" s="267"/>
      <c r="O31" s="267"/>
      <c r="P31" s="267"/>
      <c r="Q31" s="267"/>
      <c r="R31" s="267"/>
      <c r="S31" s="267"/>
      <c r="T31" s="267"/>
      <c r="U31" s="267"/>
      <c r="V31" s="267"/>
      <c r="W31" s="267"/>
      <c r="X31" s="267"/>
      <c r="Y31" s="267"/>
      <c r="Z31" s="267"/>
      <c r="AA31" s="267"/>
      <c r="AB31" s="267"/>
      <c r="AC31" s="267"/>
    </row>
    <row r="32" spans="2:29" ht="16.5" x14ac:dyDescent="0.25">
      <c r="D32" s="1" t="s">
        <v>67</v>
      </c>
      <c r="K32" s="269"/>
      <c r="L32" s="174"/>
      <c r="M32" s="267" t="s">
        <v>321</v>
      </c>
      <c r="N32" s="267"/>
      <c r="O32" s="267"/>
      <c r="P32" s="267"/>
      <c r="Q32" s="267"/>
      <c r="R32" s="267"/>
      <c r="S32" s="267"/>
      <c r="T32" s="267"/>
      <c r="U32" s="267"/>
      <c r="V32" s="267"/>
      <c r="W32" s="267"/>
      <c r="X32" s="267"/>
      <c r="Y32" s="267"/>
      <c r="Z32" s="267"/>
      <c r="AA32" s="267"/>
      <c r="AB32" s="267"/>
      <c r="AC32" s="267"/>
    </row>
    <row r="33" spans="2:29" x14ac:dyDescent="0.15">
      <c r="D33" s="1" t="str">
        <f ca="1">CONCATENATE("  =",E17,"×",E18,"×(",E25,"÷",E26,")×(1÷",E19,")× ",E20)</f>
        <v xml:space="preserve">  =50×90×(4÷1.2)×(1÷600)× 3.5</v>
      </c>
      <c r="K33" s="270"/>
      <c r="L33" s="175" t="s">
        <v>265</v>
      </c>
      <c r="M33" s="176">
        <v>25</v>
      </c>
      <c r="N33" s="177">
        <v>50</v>
      </c>
      <c r="O33" s="177">
        <v>75</v>
      </c>
      <c r="P33" s="177">
        <v>100</v>
      </c>
      <c r="Q33" s="177">
        <v>125</v>
      </c>
      <c r="R33" s="177">
        <v>150</v>
      </c>
      <c r="S33" s="177">
        <v>175</v>
      </c>
      <c r="T33" s="177">
        <v>200</v>
      </c>
      <c r="U33" s="177">
        <v>250</v>
      </c>
      <c r="V33" s="177">
        <v>300</v>
      </c>
      <c r="W33" s="177">
        <v>400</v>
      </c>
      <c r="X33" s="177">
        <v>500</v>
      </c>
      <c r="Y33" s="177">
        <v>600</v>
      </c>
      <c r="Z33" s="177">
        <v>700</v>
      </c>
      <c r="AA33" s="177">
        <v>800</v>
      </c>
      <c r="AB33" s="177">
        <v>1000</v>
      </c>
      <c r="AC33" s="177">
        <v>1500</v>
      </c>
    </row>
    <row r="34" spans="2:29" x14ac:dyDescent="0.15">
      <c r="D34" s="1" t="str">
        <f ca="1">CONCATENATE("  =",E35)</f>
        <v xml:space="preserve">  =87.5</v>
      </c>
      <c r="K34" s="178">
        <v>1</v>
      </c>
      <c r="L34" s="179" t="s">
        <v>33</v>
      </c>
      <c r="M34" s="180" t="s">
        <v>322</v>
      </c>
      <c r="N34" s="180" t="s">
        <v>322</v>
      </c>
      <c r="O34" s="180">
        <v>3.1</v>
      </c>
      <c r="P34" s="180">
        <v>3.1</v>
      </c>
      <c r="Q34" s="180">
        <v>3.2</v>
      </c>
      <c r="R34" s="180">
        <v>3.3</v>
      </c>
      <c r="S34" s="180">
        <v>3.3</v>
      </c>
      <c r="T34" s="180">
        <v>3.3</v>
      </c>
      <c r="U34" s="180">
        <v>3.4</v>
      </c>
      <c r="V34" s="180">
        <v>3.4</v>
      </c>
      <c r="W34" s="180">
        <v>3.4</v>
      </c>
      <c r="X34" s="180" t="s">
        <v>322</v>
      </c>
      <c r="Y34" s="180" t="s">
        <v>322</v>
      </c>
      <c r="Z34" s="180" t="s">
        <v>322</v>
      </c>
      <c r="AA34" s="180" t="s">
        <v>322</v>
      </c>
      <c r="AB34" s="180" t="s">
        <v>322</v>
      </c>
      <c r="AC34" s="180" t="s">
        <v>322</v>
      </c>
    </row>
    <row r="35" spans="2:29" x14ac:dyDescent="0.15">
      <c r="C35" s="27" t="s">
        <v>0</v>
      </c>
      <c r="D35" s="28" t="s">
        <v>64</v>
      </c>
      <c r="E35" s="25">
        <f ca="1">ROUND(E17*E18*E25/E26/E19*E20,1)</f>
        <v>87.5</v>
      </c>
      <c r="F35" s="23" t="s">
        <v>65</v>
      </c>
      <c r="G35" s="17"/>
      <c r="K35" s="14">
        <v>2</v>
      </c>
      <c r="L35" s="13" t="s">
        <v>36</v>
      </c>
      <c r="M35" s="180" t="s">
        <v>322</v>
      </c>
      <c r="N35" s="180" t="s">
        <v>322</v>
      </c>
      <c r="O35" s="180" t="s">
        <v>322</v>
      </c>
      <c r="P35" s="180">
        <v>2</v>
      </c>
      <c r="Q35" s="180">
        <v>2.1</v>
      </c>
      <c r="R35" s="180">
        <v>2.2999999999999998</v>
      </c>
      <c r="S35" s="180">
        <v>2.4</v>
      </c>
      <c r="T35" s="180">
        <v>2.6</v>
      </c>
      <c r="U35" s="180">
        <v>2.8</v>
      </c>
      <c r="V35" s="180">
        <v>2.9</v>
      </c>
      <c r="W35" s="180">
        <v>3.1</v>
      </c>
      <c r="X35" s="180">
        <v>3.2</v>
      </c>
      <c r="Y35" s="180">
        <v>3.3</v>
      </c>
      <c r="Z35" s="180">
        <v>3.3</v>
      </c>
      <c r="AA35" s="180">
        <v>3.4</v>
      </c>
      <c r="AB35" s="180" t="s">
        <v>322</v>
      </c>
      <c r="AC35" s="180" t="s">
        <v>322</v>
      </c>
    </row>
    <row r="36" spans="2:29" x14ac:dyDescent="0.15">
      <c r="K36" s="14">
        <v>3</v>
      </c>
      <c r="L36" s="13" t="s">
        <v>37</v>
      </c>
      <c r="M36" s="180" t="s">
        <v>322</v>
      </c>
      <c r="N36" s="180" t="s">
        <v>322</v>
      </c>
      <c r="O36" s="180">
        <v>2.1</v>
      </c>
      <c r="P36" s="180">
        <v>2.2999999999999998</v>
      </c>
      <c r="Q36" s="180">
        <v>2.5</v>
      </c>
      <c r="R36" s="180">
        <v>2.6</v>
      </c>
      <c r="S36" s="180">
        <v>2.7</v>
      </c>
      <c r="T36" s="180">
        <v>2.8</v>
      </c>
      <c r="U36" s="180">
        <v>2.9</v>
      </c>
      <c r="V36" s="180">
        <v>3</v>
      </c>
      <c r="W36" s="180">
        <v>3.2</v>
      </c>
      <c r="X36" s="180" t="s">
        <v>322</v>
      </c>
      <c r="Y36" s="180" t="s">
        <v>322</v>
      </c>
      <c r="Z36" s="180" t="s">
        <v>322</v>
      </c>
      <c r="AA36" s="180" t="s">
        <v>322</v>
      </c>
      <c r="AB36" s="180" t="s">
        <v>322</v>
      </c>
      <c r="AC36" s="180" t="s">
        <v>322</v>
      </c>
    </row>
    <row r="37" spans="2:29" x14ac:dyDescent="0.15">
      <c r="B37" s="15" t="s">
        <v>66</v>
      </c>
      <c r="C37" s="15" t="s">
        <v>88</v>
      </c>
      <c r="D37" s="16"/>
      <c r="E37" s="16"/>
      <c r="F37" s="16"/>
      <c r="G37" s="16"/>
      <c r="K37" s="14">
        <v>4</v>
      </c>
      <c r="L37" s="13" t="s">
        <v>34</v>
      </c>
      <c r="M37" s="180" t="s">
        <v>322</v>
      </c>
      <c r="N37" s="180">
        <v>3.1</v>
      </c>
      <c r="O37" s="180">
        <v>3.9</v>
      </c>
      <c r="P37" s="180">
        <v>4.5</v>
      </c>
      <c r="Q37" s="180">
        <v>4.9000000000000004</v>
      </c>
      <c r="R37" s="180">
        <v>5.2</v>
      </c>
      <c r="S37" s="180">
        <v>5.5</v>
      </c>
      <c r="T37" s="180">
        <v>5.7</v>
      </c>
      <c r="U37" s="180" t="s">
        <v>322</v>
      </c>
      <c r="V37" s="180" t="s">
        <v>322</v>
      </c>
      <c r="W37" s="180" t="s">
        <v>322</v>
      </c>
      <c r="X37" s="180" t="s">
        <v>322</v>
      </c>
      <c r="Y37" s="180" t="s">
        <v>322</v>
      </c>
      <c r="Z37" s="180" t="s">
        <v>322</v>
      </c>
      <c r="AA37" s="180" t="s">
        <v>322</v>
      </c>
      <c r="AB37" s="180" t="s">
        <v>322</v>
      </c>
      <c r="AC37" s="180" t="s">
        <v>322</v>
      </c>
    </row>
    <row r="38" spans="2:29" ht="16.5" x14ac:dyDescent="0.25">
      <c r="D38" s="1" t="s">
        <v>68</v>
      </c>
      <c r="K38" s="14">
        <v>5</v>
      </c>
      <c r="L38" s="13" t="s">
        <v>35</v>
      </c>
      <c r="M38" s="180" t="s">
        <v>322</v>
      </c>
      <c r="N38" s="180">
        <v>3.1</v>
      </c>
      <c r="O38" s="180">
        <v>3.9</v>
      </c>
      <c r="P38" s="180">
        <v>4.5</v>
      </c>
      <c r="Q38" s="180">
        <v>4.9000000000000004</v>
      </c>
      <c r="R38" s="180">
        <v>5.2</v>
      </c>
      <c r="S38" s="180">
        <v>5.5</v>
      </c>
      <c r="T38" s="180">
        <v>5.7</v>
      </c>
      <c r="U38" s="180" t="s">
        <v>322</v>
      </c>
      <c r="V38" s="180" t="s">
        <v>322</v>
      </c>
      <c r="W38" s="180" t="s">
        <v>322</v>
      </c>
      <c r="X38" s="180" t="s">
        <v>322</v>
      </c>
      <c r="Y38" s="180" t="s">
        <v>322</v>
      </c>
      <c r="Z38" s="180" t="s">
        <v>322</v>
      </c>
      <c r="AA38" s="180" t="s">
        <v>322</v>
      </c>
      <c r="AB38" s="180" t="s">
        <v>322</v>
      </c>
      <c r="AC38" s="180" t="s">
        <v>322</v>
      </c>
    </row>
    <row r="39" spans="2:29" x14ac:dyDescent="0.15">
      <c r="D39" s="1" t="str">
        <f ca="1">CONCATENATE("   =",E17,"×",E21,"×(",E25,"÷",E26,")×",E23,"×",E27)</f>
        <v xml:space="preserve">   =50×6.5×(4÷1.2)×7×0.001</v>
      </c>
      <c r="K39" s="14">
        <v>6</v>
      </c>
      <c r="L39" s="13" t="s">
        <v>38</v>
      </c>
      <c r="M39" s="180">
        <v>3.3</v>
      </c>
      <c r="N39" s="180">
        <v>4.2</v>
      </c>
      <c r="O39" s="180">
        <v>4.4000000000000004</v>
      </c>
      <c r="P39" s="180">
        <v>4.7</v>
      </c>
      <c r="Q39" s="180">
        <v>4.8</v>
      </c>
      <c r="R39" s="180">
        <v>4.9000000000000004</v>
      </c>
      <c r="S39" s="180">
        <v>4.9000000000000004</v>
      </c>
      <c r="T39" s="180">
        <v>5</v>
      </c>
      <c r="U39" s="180">
        <v>5.0999999999999996</v>
      </c>
      <c r="V39" s="180" t="s">
        <v>322</v>
      </c>
      <c r="W39" s="180" t="s">
        <v>322</v>
      </c>
      <c r="X39" s="180" t="s">
        <v>322</v>
      </c>
      <c r="Y39" s="180" t="s">
        <v>322</v>
      </c>
      <c r="Z39" s="180" t="s">
        <v>322</v>
      </c>
      <c r="AA39" s="180" t="s">
        <v>322</v>
      </c>
      <c r="AB39" s="180" t="s">
        <v>322</v>
      </c>
      <c r="AC39" s="180" t="s">
        <v>322</v>
      </c>
    </row>
    <row r="40" spans="2:29" x14ac:dyDescent="0.15">
      <c r="D40" s="1" t="str">
        <f ca="1">CONCATENATE("   =",E41)</f>
        <v xml:space="preserve">   =7.6</v>
      </c>
      <c r="K40" s="14">
        <v>7</v>
      </c>
      <c r="L40" s="13" t="s">
        <v>39</v>
      </c>
      <c r="M40" s="180">
        <v>3.7</v>
      </c>
      <c r="N40" s="180">
        <v>4.7</v>
      </c>
      <c r="O40" s="180">
        <v>5.3</v>
      </c>
      <c r="P40" s="180">
        <v>5.7</v>
      </c>
      <c r="Q40" s="180">
        <v>5.9</v>
      </c>
      <c r="R40" s="180">
        <v>6</v>
      </c>
      <c r="S40" s="180">
        <v>6.1</v>
      </c>
      <c r="T40" s="180">
        <v>6.2</v>
      </c>
      <c r="U40" s="180" t="s">
        <v>322</v>
      </c>
      <c r="V40" s="180" t="s">
        <v>322</v>
      </c>
      <c r="W40" s="180" t="s">
        <v>322</v>
      </c>
      <c r="X40" s="180" t="s">
        <v>322</v>
      </c>
      <c r="Y40" s="180" t="s">
        <v>322</v>
      </c>
      <c r="Z40" s="180" t="s">
        <v>322</v>
      </c>
      <c r="AA40" s="180" t="s">
        <v>322</v>
      </c>
      <c r="AB40" s="180" t="s">
        <v>322</v>
      </c>
      <c r="AC40" s="180" t="s">
        <v>322</v>
      </c>
    </row>
    <row r="41" spans="2:29" ht="16.5" x14ac:dyDescent="0.25">
      <c r="C41" s="27" t="s">
        <v>73</v>
      </c>
      <c r="D41" s="28" t="s">
        <v>69</v>
      </c>
      <c r="E41" s="25">
        <f ca="1">ROUND(E17*E21*E25/E26*E23*E27,1)</f>
        <v>7.6</v>
      </c>
      <c r="F41" s="23" t="s">
        <v>29</v>
      </c>
      <c r="G41" s="17"/>
      <c r="K41" s="14">
        <v>8</v>
      </c>
      <c r="L41" s="13" t="s">
        <v>6</v>
      </c>
      <c r="M41" s="180">
        <v>3.3</v>
      </c>
      <c r="N41" s="180">
        <v>4.2</v>
      </c>
      <c r="O41" s="180">
        <v>4.4000000000000004</v>
      </c>
      <c r="P41" s="180">
        <v>4.7</v>
      </c>
      <c r="Q41" s="180">
        <v>4.8</v>
      </c>
      <c r="R41" s="180">
        <v>4.9000000000000004</v>
      </c>
      <c r="S41" s="180">
        <v>4.9000000000000004</v>
      </c>
      <c r="T41" s="180">
        <v>5</v>
      </c>
      <c r="U41" s="180">
        <v>5.0999999999999996</v>
      </c>
      <c r="V41" s="180" t="s">
        <v>322</v>
      </c>
      <c r="W41" s="180" t="s">
        <v>322</v>
      </c>
      <c r="X41" s="180" t="s">
        <v>322</v>
      </c>
      <c r="Y41" s="180" t="s">
        <v>322</v>
      </c>
      <c r="Z41" s="180" t="s">
        <v>322</v>
      </c>
      <c r="AA41" s="180" t="s">
        <v>322</v>
      </c>
      <c r="AB41" s="180" t="s">
        <v>322</v>
      </c>
      <c r="AC41" s="180" t="s">
        <v>322</v>
      </c>
    </row>
    <row r="42" spans="2:29" ht="16.5" x14ac:dyDescent="0.25">
      <c r="D42" s="1" t="s">
        <v>76</v>
      </c>
      <c r="K42" s="14">
        <v>9</v>
      </c>
      <c r="L42" s="13" t="s">
        <v>316</v>
      </c>
      <c r="M42" s="180" t="s">
        <v>322</v>
      </c>
      <c r="N42" s="180" t="s">
        <v>322</v>
      </c>
      <c r="O42" s="180" t="s">
        <v>322</v>
      </c>
      <c r="P42" s="180" t="s">
        <v>322</v>
      </c>
      <c r="Q42" s="180" t="s">
        <v>322</v>
      </c>
      <c r="R42" s="180">
        <v>2.4</v>
      </c>
      <c r="S42" s="180">
        <v>2.6</v>
      </c>
      <c r="T42" s="180">
        <v>2.8</v>
      </c>
      <c r="U42" s="180">
        <v>3</v>
      </c>
      <c r="V42" s="180">
        <v>3.3</v>
      </c>
      <c r="W42" s="180">
        <v>3.6</v>
      </c>
      <c r="X42" s="180">
        <v>3.8</v>
      </c>
      <c r="Y42" s="180">
        <v>3.9</v>
      </c>
      <c r="Z42" s="180">
        <v>4.0999999999999996</v>
      </c>
      <c r="AA42" s="180">
        <v>4.2</v>
      </c>
      <c r="AB42" s="180">
        <v>4.3</v>
      </c>
      <c r="AC42" s="180">
        <v>4.5</v>
      </c>
    </row>
    <row r="43" spans="2:29" x14ac:dyDescent="0.15">
      <c r="D43" s="1" t="str">
        <f ca="1">CONCATENATE("   =",E17,"×",E22,"×(",E25,"÷",E26,")×",E24,"×",E27)</f>
        <v xml:space="preserve">   =50×3×(4÷1.2)×30×0.001</v>
      </c>
      <c r="K43" s="14">
        <v>10</v>
      </c>
      <c r="L43" s="13" t="s">
        <v>317</v>
      </c>
      <c r="M43" s="180" t="s">
        <v>322</v>
      </c>
      <c r="N43" s="180" t="s">
        <v>322</v>
      </c>
      <c r="O43" s="180" t="s">
        <v>322</v>
      </c>
      <c r="P43" s="180" t="s">
        <v>322</v>
      </c>
      <c r="Q43" s="180" t="s">
        <v>322</v>
      </c>
      <c r="R43" s="180">
        <v>2.4</v>
      </c>
      <c r="S43" s="180">
        <v>2.6</v>
      </c>
      <c r="T43" s="180">
        <v>2.8</v>
      </c>
      <c r="U43" s="180">
        <v>3</v>
      </c>
      <c r="V43" s="180">
        <v>3.3</v>
      </c>
      <c r="W43" s="180">
        <v>3.6</v>
      </c>
      <c r="X43" s="180">
        <v>3.8</v>
      </c>
      <c r="Y43" s="180">
        <v>3.9</v>
      </c>
      <c r="Z43" s="180">
        <v>4.0999999999999996</v>
      </c>
      <c r="AA43" s="180">
        <v>4.2</v>
      </c>
      <c r="AB43" s="180">
        <v>4.3</v>
      </c>
      <c r="AC43" s="180">
        <v>4.5</v>
      </c>
    </row>
    <row r="44" spans="2:29" x14ac:dyDescent="0.15">
      <c r="D44" s="1" t="str">
        <f ca="1">CONCATENATE("   =",E45)</f>
        <v xml:space="preserve">   =15</v>
      </c>
      <c r="L44" s="39"/>
      <c r="M44" s="7"/>
      <c r="N44" s="7"/>
      <c r="O44" s="7"/>
      <c r="P44" s="7"/>
      <c r="Q44" s="7"/>
      <c r="R44" s="7"/>
      <c r="S44" s="7"/>
      <c r="T44" s="7"/>
      <c r="U44" s="7"/>
      <c r="V44" s="7"/>
    </row>
    <row r="45" spans="2:29" ht="16.5" x14ac:dyDescent="0.25">
      <c r="C45" s="27" t="s">
        <v>74</v>
      </c>
      <c r="D45" s="28" t="s">
        <v>75</v>
      </c>
      <c r="E45" s="25">
        <f ca="1">ROUND(E17*E22*E25/E26*E24*E27,1)</f>
        <v>15</v>
      </c>
      <c r="F45" s="23" t="s">
        <v>70</v>
      </c>
      <c r="G45" s="17"/>
      <c r="L45" s="40"/>
      <c r="P45" s="36"/>
      <c r="Q45" s="36"/>
      <c r="R45" s="8"/>
      <c r="W45" s="9"/>
      <c r="X45" s="9"/>
    </row>
    <row r="46" spans="2:29" ht="16.5" x14ac:dyDescent="0.25">
      <c r="D46" s="1" t="s">
        <v>78</v>
      </c>
      <c r="L46" s="40"/>
      <c r="P46" s="36"/>
      <c r="Q46" s="36"/>
      <c r="R46" s="8"/>
      <c r="W46" s="9"/>
      <c r="X46" s="9"/>
    </row>
    <row r="47" spans="2:29" x14ac:dyDescent="0.15">
      <c r="D47" s="1" t="str">
        <f ca="1">CONCATENATE("   =",E41,"+",E45)</f>
        <v xml:space="preserve">   =7.6+15</v>
      </c>
      <c r="L47" s="40"/>
      <c r="P47" s="36"/>
      <c r="Q47" s="36"/>
      <c r="R47" s="8"/>
      <c r="W47" s="9"/>
      <c r="X47" s="9"/>
    </row>
    <row r="48" spans="2:29" x14ac:dyDescent="0.15">
      <c r="D48" s="1" t="str">
        <f ca="1">CONCATENATE("   =",E49)</f>
        <v xml:space="preserve">   =22.6</v>
      </c>
      <c r="L48" s="40"/>
      <c r="P48" s="36"/>
      <c r="Q48" s="36"/>
      <c r="R48" s="8"/>
      <c r="W48" s="9"/>
      <c r="X48" s="9"/>
    </row>
    <row r="49" spans="2:24" x14ac:dyDescent="0.15">
      <c r="C49" s="27" t="s">
        <v>5</v>
      </c>
      <c r="D49" s="28" t="s">
        <v>83</v>
      </c>
      <c r="E49" s="25">
        <f ca="1">E41+E45</f>
        <v>22.6</v>
      </c>
      <c r="F49" s="23" t="s">
        <v>70</v>
      </c>
      <c r="L49" s="40"/>
      <c r="P49" s="36"/>
      <c r="Q49" s="36"/>
      <c r="R49" s="8"/>
      <c r="W49" s="9"/>
      <c r="X49" s="9"/>
    </row>
    <row r="50" spans="2:24" x14ac:dyDescent="0.15">
      <c r="L50" s="40"/>
      <c r="P50" s="36"/>
      <c r="Q50" s="36"/>
      <c r="R50" s="8"/>
      <c r="W50" s="9"/>
      <c r="X50" s="9"/>
    </row>
    <row r="51" spans="2:24" x14ac:dyDescent="0.15">
      <c r="B51" s="16" t="s">
        <v>79</v>
      </c>
      <c r="C51" s="15" t="s">
        <v>89</v>
      </c>
      <c r="D51" s="15"/>
      <c r="E51" s="16"/>
      <c r="F51" s="16"/>
      <c r="G51" s="16"/>
      <c r="L51" s="40"/>
      <c r="P51" s="36"/>
      <c r="Q51" s="36"/>
      <c r="R51" s="8"/>
      <c r="W51" s="9"/>
      <c r="X51" s="9"/>
    </row>
    <row r="52" spans="2:24" x14ac:dyDescent="0.15">
      <c r="D52" s="1" t="s">
        <v>92</v>
      </c>
      <c r="L52" s="40"/>
      <c r="P52" s="36"/>
      <c r="Q52" s="36"/>
      <c r="R52" s="8"/>
      <c r="W52" s="9"/>
      <c r="X52" s="9"/>
    </row>
    <row r="53" spans="2:24" x14ac:dyDescent="0.15">
      <c r="D53" s="1" t="s">
        <v>93</v>
      </c>
      <c r="L53" s="40"/>
      <c r="P53" s="36"/>
      <c r="Q53" s="36"/>
      <c r="R53" s="8"/>
      <c r="W53" s="9"/>
      <c r="X53" s="9"/>
    </row>
    <row r="54" spans="2:24" x14ac:dyDescent="0.15">
      <c r="D54" s="1" t="s">
        <v>90</v>
      </c>
      <c r="E54" s="31" t="s">
        <v>101</v>
      </c>
      <c r="F54" s="34">
        <f ca="1">E35</f>
        <v>87.5</v>
      </c>
      <c r="G54" s="30" t="s">
        <v>94</v>
      </c>
      <c r="L54" s="40"/>
      <c r="P54" s="36"/>
      <c r="Q54" s="36"/>
      <c r="R54" s="8"/>
      <c r="W54" s="9"/>
      <c r="X54" s="9"/>
    </row>
    <row r="55" spans="2:24" x14ac:dyDescent="0.15">
      <c r="D55" s="32"/>
      <c r="E55" s="31" t="s">
        <v>102</v>
      </c>
      <c r="F55" s="34">
        <f ca="1">E49</f>
        <v>22.6</v>
      </c>
      <c r="G55" s="30" t="s">
        <v>95</v>
      </c>
      <c r="L55" s="40"/>
      <c r="P55" s="36"/>
      <c r="Q55" s="36"/>
      <c r="R55" s="8"/>
      <c r="W55" s="9"/>
      <c r="X55" s="9"/>
    </row>
    <row r="56" spans="2:24" x14ac:dyDescent="0.15">
      <c r="D56" s="1" t="s">
        <v>91</v>
      </c>
      <c r="L56" s="40"/>
      <c r="P56" s="36"/>
      <c r="Q56" s="36"/>
      <c r="R56" s="8"/>
      <c r="W56" s="9"/>
      <c r="X56" s="9"/>
    </row>
    <row r="57" spans="2:24" x14ac:dyDescent="0.15">
      <c r="L57" s="40"/>
      <c r="P57" s="36"/>
      <c r="Q57" s="36"/>
      <c r="R57" s="8"/>
      <c r="W57" s="9"/>
      <c r="X57" s="9"/>
    </row>
    <row r="58" spans="2:24" x14ac:dyDescent="0.15">
      <c r="B58" s="16" t="s">
        <v>96</v>
      </c>
      <c r="C58" s="15" t="s">
        <v>97</v>
      </c>
      <c r="D58" s="15"/>
      <c r="E58" s="16"/>
      <c r="F58" s="16"/>
      <c r="G58" s="16"/>
      <c r="L58" s="40"/>
      <c r="P58" s="36"/>
      <c r="Q58" s="36"/>
      <c r="R58" s="8"/>
      <c r="W58" s="9"/>
      <c r="X58" s="9"/>
    </row>
    <row r="59" spans="2:24" x14ac:dyDescent="0.15">
      <c r="D59" s="1" t="s">
        <v>100</v>
      </c>
      <c r="L59" s="40"/>
      <c r="P59" s="36"/>
      <c r="Q59" s="36"/>
      <c r="R59" s="8"/>
      <c r="W59" s="9"/>
      <c r="X59" s="9"/>
    </row>
    <row r="60" spans="2:24" x14ac:dyDescent="0.15">
      <c r="E60" s="31" t="s">
        <v>287</v>
      </c>
      <c r="F60" s="261" t="str">
        <f>VLOOKUP(条件入力!D21,条件入力!I12:L30,2,FALSE)</f>
        <v>　FRP製</v>
      </c>
      <c r="G60" s="261"/>
      <c r="L60" s="40"/>
      <c r="P60" s="36"/>
      <c r="Q60" s="36"/>
      <c r="R60" s="8"/>
      <c r="W60" s="9"/>
      <c r="X60" s="9"/>
    </row>
    <row r="61" spans="2:24" x14ac:dyDescent="0.15">
      <c r="C61" s="29" t="s">
        <v>104</v>
      </c>
      <c r="D61" s="263"/>
      <c r="E61" s="31" t="s">
        <v>203</v>
      </c>
      <c r="F61" s="271" t="str">
        <f>VLOOKUP(条件入力!D21,条件入力!I12:L30,3,FALSE)</f>
        <v>　側溝式</v>
      </c>
      <c r="G61" s="271"/>
      <c r="L61" s="40"/>
      <c r="P61" s="36"/>
      <c r="Q61" s="36"/>
      <c r="R61" s="8"/>
      <c r="W61" s="9"/>
      <c r="X61" s="9"/>
    </row>
    <row r="62" spans="2:24" x14ac:dyDescent="0.15">
      <c r="D62" s="264"/>
      <c r="E62" s="31" t="s">
        <v>193</v>
      </c>
      <c r="F62" s="271" t="str">
        <f>VLOOKUP(条件入力!D21,条件入力!I12:L30,4,FALSE)</f>
        <v>　地中埋設専用</v>
      </c>
      <c r="G62" s="271"/>
      <c r="L62" s="40"/>
      <c r="P62" s="36"/>
      <c r="Q62" s="36"/>
      <c r="R62" s="8"/>
      <c r="W62" s="9"/>
      <c r="X62" s="9"/>
    </row>
    <row r="63" spans="2:24" x14ac:dyDescent="0.15">
      <c r="D63" s="264"/>
      <c r="E63" s="31" t="s">
        <v>98</v>
      </c>
      <c r="F63" s="261" t="str">
        <f ca="1">CONCATENATE("　",阻集器一覧表!C4)</f>
        <v>　HGR-NX120ET</v>
      </c>
      <c r="G63" s="261"/>
      <c r="L63" s="42"/>
      <c r="P63" s="36"/>
      <c r="Q63" s="36"/>
      <c r="R63" s="8"/>
      <c r="W63" s="9"/>
      <c r="X63" s="9"/>
    </row>
    <row r="64" spans="2:24" x14ac:dyDescent="0.15">
      <c r="D64" s="265"/>
      <c r="E64" s="31" t="s">
        <v>101</v>
      </c>
      <c r="F64" s="138">
        <f ca="1">阻集器一覧表!E4</f>
        <v>120</v>
      </c>
      <c r="G64" s="30" t="s">
        <v>289</v>
      </c>
      <c r="L64" s="40"/>
      <c r="P64" s="36"/>
      <c r="Q64" s="36"/>
      <c r="R64" s="8"/>
      <c r="W64" s="9"/>
      <c r="X64" s="9"/>
    </row>
    <row r="65" spans="4:24" x14ac:dyDescent="0.15">
      <c r="D65" s="33"/>
      <c r="E65" s="31" t="s">
        <v>112</v>
      </c>
      <c r="F65" s="138">
        <f ca="1">阻集器一覧表!F4</f>
        <v>39.799999999999997</v>
      </c>
      <c r="G65" s="30" t="s">
        <v>290</v>
      </c>
      <c r="L65" s="40"/>
      <c r="P65" s="36"/>
      <c r="Q65" s="36"/>
      <c r="R65" s="8"/>
      <c r="W65" s="9"/>
      <c r="X65" s="9"/>
    </row>
    <row r="66" spans="4:24" x14ac:dyDescent="0.15">
      <c r="E66" s="31" t="s">
        <v>233</v>
      </c>
      <c r="F66" s="261" t="str">
        <f ca="1">阻集器一覧表!G4</f>
        <v>　有り</v>
      </c>
      <c r="G66" s="261"/>
      <c r="L66" s="40"/>
      <c r="P66" s="36"/>
      <c r="Q66" s="36"/>
      <c r="R66" s="8"/>
      <c r="W66" s="9"/>
      <c r="X66" s="9"/>
    </row>
    <row r="67" spans="4:24" x14ac:dyDescent="0.15">
      <c r="L67" s="40"/>
      <c r="P67" s="36"/>
      <c r="Q67" s="36"/>
      <c r="R67" s="8"/>
      <c r="W67" s="9"/>
      <c r="X67" s="9"/>
    </row>
    <row r="68" spans="4:24" x14ac:dyDescent="0.15">
      <c r="L68" s="40"/>
      <c r="P68" s="36"/>
      <c r="Q68" s="36"/>
      <c r="R68" s="8"/>
      <c r="W68" s="9"/>
      <c r="X68" s="9"/>
    </row>
    <row r="69" spans="4:24" x14ac:dyDescent="0.15">
      <c r="L69" s="40"/>
      <c r="P69" s="36"/>
      <c r="Q69" s="36"/>
      <c r="R69" s="8"/>
      <c r="W69" s="9"/>
      <c r="X69" s="9"/>
    </row>
    <row r="70" spans="4:24" x14ac:dyDescent="0.15">
      <c r="L70" s="40"/>
      <c r="P70" s="36"/>
      <c r="Q70" s="36"/>
      <c r="R70" s="8"/>
      <c r="W70" s="9"/>
      <c r="X70" s="9"/>
    </row>
    <row r="71" spans="4:24" x14ac:dyDescent="0.15">
      <c r="L71" s="40"/>
      <c r="P71" s="36"/>
      <c r="Q71" s="36"/>
      <c r="R71" s="8"/>
      <c r="W71" s="9"/>
      <c r="X71" s="9"/>
    </row>
    <row r="72" spans="4:24" x14ac:dyDescent="0.15">
      <c r="L72" s="40"/>
      <c r="P72" s="36"/>
      <c r="Q72" s="36"/>
      <c r="R72" s="8"/>
      <c r="W72" s="9"/>
      <c r="X72" s="9"/>
    </row>
    <row r="73" spans="4:24" x14ac:dyDescent="0.15">
      <c r="L73" s="40"/>
      <c r="P73" s="36"/>
      <c r="Q73" s="36"/>
      <c r="R73" s="8"/>
      <c r="W73" s="9"/>
      <c r="X73" s="9"/>
    </row>
  </sheetData>
  <sheetProtection algorithmName="SHA-512" hashValue="7+sSBAkRynnVEpnKnCm2UYSGKuHqypSZnkvZr7IN4igNrrl01deKzHOtWnvn7ahl0TMrl4KiZh4sSV8bKZ7+IA==" saltValue="TkFORO9R+7YEB9cXHpPXPA==" spinCount="100000" sheet="1" objects="1" scenarios="1"/>
  <mergeCells count="19">
    <mergeCell ref="U16:V16"/>
    <mergeCell ref="M31:AC31"/>
    <mergeCell ref="K31:K33"/>
    <mergeCell ref="M32:AC32"/>
    <mergeCell ref="F66:G66"/>
    <mergeCell ref="F60:G60"/>
    <mergeCell ref="F61:G61"/>
    <mergeCell ref="F62:G62"/>
    <mergeCell ref="M16:Q16"/>
    <mergeCell ref="S16:T16"/>
    <mergeCell ref="K16:K18"/>
    <mergeCell ref="B7:F7"/>
    <mergeCell ref="B9:C9"/>
    <mergeCell ref="F63:G63"/>
    <mergeCell ref="F11:G11"/>
    <mergeCell ref="D61:D64"/>
    <mergeCell ref="F8:G8"/>
    <mergeCell ref="F9:G9"/>
    <mergeCell ref="F10:G10"/>
  </mergeCells>
  <phoneticPr fontId="2"/>
  <pageMargins left="0.59055118110236227" right="0.19685039370078741" top="0.78740157480314965"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A73"/>
  <sheetViews>
    <sheetView showGridLines="0" zoomScale="70" zoomScaleNormal="70" workbookViewId="0">
      <selection activeCell="AF15" sqref="AF15"/>
    </sheetView>
  </sheetViews>
  <sheetFormatPr defaultRowHeight="13.5" x14ac:dyDescent="0.15"/>
  <cols>
    <col min="1" max="1" width="2.25" customWidth="1"/>
    <col min="2" max="2" width="3.375" bestFit="1" customWidth="1"/>
    <col min="3" max="3" width="4.375" style="1" customWidth="1"/>
    <col min="4" max="4" width="49.125" style="1" customWidth="1"/>
    <col min="5" max="5" width="17.375" customWidth="1"/>
    <col min="6" max="6" width="10.25" customWidth="1"/>
    <col min="7" max="7" width="21.375" customWidth="1"/>
    <col min="8" max="8" width="2.25" customWidth="1"/>
    <col min="9" max="9" width="9.25" hidden="1" customWidth="1"/>
    <col min="10" max="10" width="2.25" hidden="1" customWidth="1"/>
    <col min="11" max="11" width="4.375" hidden="1" customWidth="1"/>
    <col min="12" max="12" width="24.625" hidden="1" customWidth="1"/>
    <col min="13" max="13" width="5.5" hidden="1" customWidth="1"/>
    <col min="14" max="14" width="7.375" hidden="1" customWidth="1"/>
    <col min="15" max="15" width="4.75" hidden="1" customWidth="1"/>
    <col min="16" max="16" width="6.625" hidden="1" customWidth="1"/>
    <col min="17" max="17" width="5.5" hidden="1" customWidth="1"/>
    <col min="18" max="26" width="2.25" hidden="1" customWidth="1"/>
    <col min="27" max="27" width="9" hidden="1" customWidth="1"/>
    <col min="28" max="29" width="0" hidden="1" customWidth="1"/>
  </cols>
  <sheetData>
    <row r="2" spans="2:25" ht="17.25" x14ac:dyDescent="0.2">
      <c r="B2" s="20" t="s">
        <v>80</v>
      </c>
      <c r="C2" s="20"/>
      <c r="D2" s="20"/>
      <c r="E2" s="20"/>
      <c r="F2" s="20"/>
      <c r="G2" s="20"/>
    </row>
    <row r="3" spans="2:25" hidden="1" x14ac:dyDescent="0.15">
      <c r="B3" t="s">
        <v>120</v>
      </c>
      <c r="C3" s="18" t="s">
        <v>213</v>
      </c>
      <c r="D3" s="18"/>
      <c r="E3" s="18"/>
      <c r="F3" s="18"/>
      <c r="G3" s="18"/>
    </row>
    <row r="4" spans="2:25" x14ac:dyDescent="0.15">
      <c r="B4" t="s">
        <v>121</v>
      </c>
      <c r="C4" s="19" t="s">
        <v>214</v>
      </c>
      <c r="D4" s="19"/>
      <c r="E4" s="19"/>
      <c r="F4" s="19"/>
      <c r="G4" s="19"/>
    </row>
    <row r="5" spans="2:25" hidden="1" x14ac:dyDescent="0.15">
      <c r="B5" t="s">
        <v>122</v>
      </c>
      <c r="C5" t="s">
        <v>210</v>
      </c>
      <c r="D5"/>
    </row>
    <row r="7" spans="2:25" ht="26.25" customHeight="1" x14ac:dyDescent="0.15">
      <c r="B7" s="259" t="s">
        <v>230</v>
      </c>
      <c r="C7" s="259"/>
      <c r="D7" s="259"/>
      <c r="E7" s="259"/>
      <c r="F7" s="259"/>
      <c r="G7" s="111">
        <f ca="1">TODAY()</f>
        <v>45223</v>
      </c>
    </row>
    <row r="8" spans="2:25" ht="17.25" x14ac:dyDescent="0.2">
      <c r="B8" s="112"/>
      <c r="C8" s="113"/>
      <c r="D8" s="152">
        <f>条件入力!D12</f>
        <v>0</v>
      </c>
      <c r="E8" s="153" t="str">
        <f>条件入力!E12</f>
        <v>　</v>
      </c>
      <c r="F8" s="266"/>
      <c r="G8" s="266"/>
    </row>
    <row r="9" spans="2:25" ht="17.25" x14ac:dyDescent="0.2">
      <c r="B9" s="260" t="s">
        <v>107</v>
      </c>
      <c r="C9" s="260"/>
      <c r="D9" s="154">
        <f>条件入力!D13</f>
        <v>0</v>
      </c>
      <c r="E9" s="131"/>
      <c r="F9" s="262"/>
      <c r="G9" s="262"/>
    </row>
    <row r="10" spans="2:25" x14ac:dyDescent="0.15">
      <c r="B10" s="112"/>
      <c r="C10" s="113"/>
      <c r="D10" s="113"/>
      <c r="E10" s="131"/>
      <c r="F10" s="262"/>
      <c r="G10" s="262"/>
    </row>
    <row r="11" spans="2:25" x14ac:dyDescent="0.15">
      <c r="B11" s="112"/>
      <c r="C11" s="113"/>
      <c r="D11" s="112"/>
      <c r="E11" s="131"/>
      <c r="F11" s="262" t="s">
        <v>103</v>
      </c>
      <c r="G11" s="262"/>
    </row>
    <row r="12" spans="2:25" ht="17.25" x14ac:dyDescent="0.2">
      <c r="B12" s="20" t="s">
        <v>365</v>
      </c>
      <c r="C12" s="20"/>
      <c r="D12" s="20"/>
      <c r="E12" s="20"/>
      <c r="F12" s="20"/>
      <c r="G12" s="20"/>
    </row>
    <row r="13" spans="2:25" ht="3.75" customHeight="1" x14ac:dyDescent="0.15"/>
    <row r="14" spans="2:25" x14ac:dyDescent="0.15">
      <c r="B14" s="15" t="s">
        <v>123</v>
      </c>
      <c r="C14" s="15" t="s">
        <v>232</v>
      </c>
      <c r="D14" s="16"/>
      <c r="E14" s="16"/>
      <c r="F14" s="16"/>
      <c r="G14" s="16"/>
    </row>
    <row r="15" spans="2:25" x14ac:dyDescent="0.15">
      <c r="C15" s="21" t="s">
        <v>21</v>
      </c>
      <c r="D15" s="22" t="s">
        <v>22</v>
      </c>
      <c r="E15" s="22" t="s">
        <v>56</v>
      </c>
      <c r="F15" s="22" t="s">
        <v>23</v>
      </c>
      <c r="G15" s="23" t="s">
        <v>24</v>
      </c>
      <c r="I15" s="3" t="s">
        <v>124</v>
      </c>
      <c r="K15" s="14">
        <v>1</v>
      </c>
      <c r="L15" s="14">
        <v>2</v>
      </c>
      <c r="M15" s="14">
        <v>3</v>
      </c>
      <c r="N15" s="14">
        <v>4</v>
      </c>
      <c r="O15" s="14">
        <v>5</v>
      </c>
      <c r="P15" s="14">
        <v>6</v>
      </c>
      <c r="Q15" s="14">
        <v>7</v>
      </c>
    </row>
    <row r="16" spans="2:25" x14ac:dyDescent="0.15">
      <c r="C16" s="21"/>
      <c r="D16" s="22" t="s">
        <v>125</v>
      </c>
      <c r="E16" s="151" t="str">
        <f>条件入力!D14</f>
        <v>社員・従業員食堂</v>
      </c>
      <c r="F16" s="22"/>
      <c r="G16" s="23" t="s">
        <v>126</v>
      </c>
      <c r="I16" s="3">
        <f>MATCH(E16,L19:L29,0)</f>
        <v>9</v>
      </c>
      <c r="K16" s="272" t="s">
        <v>127</v>
      </c>
      <c r="L16" s="168" t="s">
        <v>40</v>
      </c>
      <c r="M16" s="267" t="s">
        <v>42</v>
      </c>
      <c r="N16" s="267"/>
      <c r="O16" s="267"/>
      <c r="P16" s="267"/>
      <c r="Q16" s="267"/>
      <c r="R16" s="7"/>
      <c r="S16" s="7"/>
      <c r="T16" s="7"/>
      <c r="U16" s="7"/>
      <c r="V16" s="7"/>
      <c r="W16" s="7"/>
      <c r="X16" s="7"/>
      <c r="Y16" s="7"/>
    </row>
    <row r="17" spans="2:25" ht="13.5" customHeight="1" x14ac:dyDescent="0.25">
      <c r="C17" s="135" t="s">
        <v>158</v>
      </c>
      <c r="D17" s="136" t="s">
        <v>159</v>
      </c>
      <c r="E17" s="155">
        <f>条件入力!D16</f>
        <v>0</v>
      </c>
      <c r="F17" s="136" t="s">
        <v>50</v>
      </c>
      <c r="G17" s="137" t="s">
        <v>128</v>
      </c>
      <c r="I17" s="35">
        <f>E17</f>
        <v>0</v>
      </c>
      <c r="K17" s="273"/>
      <c r="L17" s="170" t="s">
        <v>315</v>
      </c>
      <c r="M17" s="2" t="s">
        <v>129</v>
      </c>
      <c r="N17" s="2" t="s">
        <v>3</v>
      </c>
      <c r="O17" s="2" t="s">
        <v>4</v>
      </c>
      <c r="P17" s="2" t="s">
        <v>161</v>
      </c>
      <c r="Q17" s="2" t="s">
        <v>169</v>
      </c>
      <c r="R17" s="7"/>
      <c r="S17" s="7"/>
      <c r="T17" s="7"/>
      <c r="U17" s="7"/>
      <c r="V17" s="7"/>
      <c r="W17" s="7"/>
      <c r="X17" s="7"/>
      <c r="Y17" s="7"/>
    </row>
    <row r="18" spans="2:25" ht="16.5" x14ac:dyDescent="0.25">
      <c r="C18" s="21" t="s">
        <v>160</v>
      </c>
      <c r="D18" s="22" t="s">
        <v>163</v>
      </c>
      <c r="E18" s="24">
        <f t="shared" ref="E18:E25" si="0">I18</f>
        <v>50</v>
      </c>
      <c r="F18" s="22" t="s">
        <v>167</v>
      </c>
      <c r="G18" s="23" t="s">
        <v>55</v>
      </c>
      <c r="I18" s="3">
        <f>VLOOKUP($I$16,$K$19:$Q$29,3,0)</f>
        <v>50</v>
      </c>
      <c r="K18" s="274"/>
      <c r="L18" s="169" t="s">
        <v>265</v>
      </c>
      <c r="M18" s="12" t="s">
        <v>167</v>
      </c>
      <c r="N18" s="12" t="s">
        <v>45</v>
      </c>
      <c r="O18" s="12" t="s">
        <v>130</v>
      </c>
      <c r="P18" s="12" t="s">
        <v>166</v>
      </c>
      <c r="Q18" s="12" t="s">
        <v>166</v>
      </c>
      <c r="R18" s="7"/>
      <c r="S18" s="7"/>
      <c r="T18" s="7"/>
      <c r="U18" s="7"/>
      <c r="V18" s="7"/>
      <c r="W18" s="7"/>
      <c r="X18" s="7"/>
      <c r="Y18" s="7"/>
    </row>
    <row r="19" spans="2:25" ht="13.5" customHeight="1" x14ac:dyDescent="0.15">
      <c r="C19" s="21" t="s">
        <v>131</v>
      </c>
      <c r="D19" s="22" t="s">
        <v>57</v>
      </c>
      <c r="E19" s="37">
        <f t="shared" si="0"/>
        <v>600</v>
      </c>
      <c r="F19" s="22" t="s">
        <v>28</v>
      </c>
      <c r="G19" s="23" t="str">
        <f>IF(E19=I19,"SHASE規格の標準値","受渡当事者間の打合せ")</f>
        <v>SHASE規格の標準値</v>
      </c>
      <c r="I19" s="3">
        <f>VLOOKUP($I$16,$K$19:$Q$29,4,0)</f>
        <v>600</v>
      </c>
      <c r="K19" s="14">
        <v>1</v>
      </c>
      <c r="L19" s="3" t="s">
        <v>33</v>
      </c>
      <c r="M19" s="3">
        <v>80</v>
      </c>
      <c r="N19" s="3">
        <v>720</v>
      </c>
      <c r="O19" s="3">
        <v>3.5</v>
      </c>
      <c r="P19" s="4">
        <v>11</v>
      </c>
      <c r="Q19" s="4">
        <v>5</v>
      </c>
      <c r="R19" s="36"/>
      <c r="S19" s="36"/>
      <c r="T19" s="36"/>
      <c r="U19" s="36"/>
      <c r="V19" s="36"/>
      <c r="W19" s="36"/>
      <c r="X19" s="36"/>
      <c r="Y19" s="36"/>
    </row>
    <row r="20" spans="2:25" x14ac:dyDescent="0.15">
      <c r="C20" s="21" t="s">
        <v>132</v>
      </c>
      <c r="D20" s="99" t="s">
        <v>8</v>
      </c>
      <c r="E20" s="25">
        <f t="shared" si="0"/>
        <v>3.5</v>
      </c>
      <c r="F20" s="22" t="s">
        <v>30</v>
      </c>
      <c r="G20" s="23" t="s">
        <v>55</v>
      </c>
      <c r="I20" s="3">
        <f>VLOOKUP($I$16,$K$19:$Q$29,5,0)</f>
        <v>3.5</v>
      </c>
      <c r="K20" s="14">
        <v>2</v>
      </c>
      <c r="L20" s="3" t="s">
        <v>36</v>
      </c>
      <c r="M20" s="3">
        <v>80</v>
      </c>
      <c r="N20" s="3">
        <v>720</v>
      </c>
      <c r="O20" s="3">
        <v>3.5</v>
      </c>
      <c r="P20" s="4">
        <v>8</v>
      </c>
      <c r="Q20" s="4">
        <v>3</v>
      </c>
      <c r="R20" s="36"/>
      <c r="S20" s="36"/>
      <c r="T20" s="36"/>
      <c r="U20" s="36"/>
      <c r="V20" s="36"/>
      <c r="W20" s="36"/>
      <c r="X20" s="36"/>
      <c r="Y20" s="36"/>
    </row>
    <row r="21" spans="2:25" ht="16.5" x14ac:dyDescent="0.25">
      <c r="C21" s="21" t="s">
        <v>161</v>
      </c>
      <c r="D21" s="22" t="s">
        <v>164</v>
      </c>
      <c r="E21" s="25">
        <f t="shared" si="0"/>
        <v>3.5</v>
      </c>
      <c r="F21" s="22" t="s">
        <v>166</v>
      </c>
      <c r="G21" s="23" t="s">
        <v>55</v>
      </c>
      <c r="I21" s="3">
        <f>VLOOKUP($I$16,$K$19:$Q$29,6,0)</f>
        <v>3.5</v>
      </c>
      <c r="K21" s="14">
        <v>3</v>
      </c>
      <c r="L21" s="3" t="s">
        <v>37</v>
      </c>
      <c r="M21" s="3">
        <v>80</v>
      </c>
      <c r="N21" s="3">
        <v>720</v>
      </c>
      <c r="O21" s="3">
        <v>3.5</v>
      </c>
      <c r="P21" s="4">
        <v>5.5</v>
      </c>
      <c r="Q21" s="4">
        <v>2</v>
      </c>
      <c r="R21" s="36"/>
      <c r="S21" s="36"/>
      <c r="T21" s="36"/>
      <c r="U21" s="36"/>
      <c r="V21" s="36"/>
      <c r="W21" s="36"/>
      <c r="X21" s="36"/>
      <c r="Y21" s="36"/>
    </row>
    <row r="22" spans="2:25" ht="16.5" x14ac:dyDescent="0.25">
      <c r="C22" s="21" t="s">
        <v>162</v>
      </c>
      <c r="D22" s="22" t="s">
        <v>165</v>
      </c>
      <c r="E22" s="25">
        <f t="shared" si="0"/>
        <v>1.5</v>
      </c>
      <c r="F22" s="22" t="s">
        <v>166</v>
      </c>
      <c r="G22" s="23" t="s">
        <v>55</v>
      </c>
      <c r="I22" s="3">
        <f>VLOOKUP($I$16,$K$19:$Q$29,7,0)</f>
        <v>1.5</v>
      </c>
      <c r="K22" s="14">
        <v>4</v>
      </c>
      <c r="L22" s="3" t="s">
        <v>133</v>
      </c>
      <c r="M22" s="3">
        <v>50</v>
      </c>
      <c r="N22" s="3">
        <v>720</v>
      </c>
      <c r="O22" s="3">
        <v>3.5</v>
      </c>
      <c r="P22" s="4">
        <v>6.5</v>
      </c>
      <c r="Q22" s="4">
        <v>2.5</v>
      </c>
      <c r="R22" s="36"/>
      <c r="S22" s="36"/>
      <c r="T22" s="36"/>
      <c r="U22" s="36"/>
      <c r="V22" s="36"/>
      <c r="W22" s="36"/>
      <c r="X22" s="36"/>
      <c r="Y22" s="36"/>
    </row>
    <row r="23" spans="2:25" ht="16.5" x14ac:dyDescent="0.25">
      <c r="C23" s="21" t="s">
        <v>18</v>
      </c>
      <c r="D23" s="22" t="s">
        <v>58</v>
      </c>
      <c r="E23" s="37">
        <f t="shared" si="0"/>
        <v>7</v>
      </c>
      <c r="F23" s="22" t="s">
        <v>31</v>
      </c>
      <c r="G23" s="23" t="str">
        <f>IF(E23=I23,"工業会の統一設定条件","受渡当事者間の打合せ")</f>
        <v>工業会の統一設定条件</v>
      </c>
      <c r="I23" s="3">
        <v>7</v>
      </c>
      <c r="K23" s="14">
        <v>5</v>
      </c>
      <c r="L23" s="3" t="s">
        <v>134</v>
      </c>
      <c r="M23" s="3">
        <v>50</v>
      </c>
      <c r="N23" s="3">
        <v>720</v>
      </c>
      <c r="O23" s="3">
        <v>3.5</v>
      </c>
      <c r="P23" s="4">
        <v>3</v>
      </c>
      <c r="Q23" s="4">
        <v>1</v>
      </c>
      <c r="R23" s="36"/>
      <c r="S23" s="36"/>
      <c r="T23" s="36"/>
      <c r="U23" s="36"/>
      <c r="V23" s="36"/>
      <c r="W23" s="36"/>
      <c r="X23" s="36"/>
      <c r="Y23" s="36"/>
    </row>
    <row r="24" spans="2:25" ht="16.5" x14ac:dyDescent="0.25">
      <c r="C24" s="21" t="s">
        <v>135</v>
      </c>
      <c r="D24" s="22" t="s">
        <v>59</v>
      </c>
      <c r="E24" s="37">
        <f t="shared" si="0"/>
        <v>30</v>
      </c>
      <c r="F24" s="22" t="s">
        <v>31</v>
      </c>
      <c r="G24" s="23" t="str">
        <f>IF(E24=I24,"工業会の統一設定条件","受渡当事者間の打合せ")</f>
        <v>工業会の統一設定条件</v>
      </c>
      <c r="I24" s="3">
        <v>30</v>
      </c>
      <c r="K24" s="14">
        <v>6</v>
      </c>
      <c r="L24" s="3" t="s">
        <v>38</v>
      </c>
      <c r="M24" s="3">
        <v>45</v>
      </c>
      <c r="N24" s="3">
        <v>720</v>
      </c>
      <c r="O24" s="3">
        <v>3.5</v>
      </c>
      <c r="P24" s="4">
        <v>3</v>
      </c>
      <c r="Q24" s="4">
        <v>1</v>
      </c>
      <c r="R24" s="36"/>
      <c r="S24" s="36"/>
      <c r="T24" s="36"/>
      <c r="U24" s="36"/>
      <c r="V24" s="36"/>
      <c r="W24" s="36"/>
      <c r="X24" s="36"/>
      <c r="Y24" s="36"/>
    </row>
    <row r="25" spans="2:25" ht="16.5" x14ac:dyDescent="0.25">
      <c r="C25" s="21" t="s">
        <v>71</v>
      </c>
      <c r="D25" s="22" t="s">
        <v>72</v>
      </c>
      <c r="E25" s="26">
        <f t="shared" si="0"/>
        <v>1E-3</v>
      </c>
      <c r="F25" s="22" t="s">
        <v>137</v>
      </c>
      <c r="G25" s="23" t="s">
        <v>72</v>
      </c>
      <c r="I25" s="3">
        <v>1E-3</v>
      </c>
      <c r="K25" s="14">
        <v>7</v>
      </c>
      <c r="L25" s="3" t="s">
        <v>39</v>
      </c>
      <c r="M25" s="3">
        <v>25</v>
      </c>
      <c r="N25" s="3">
        <v>720</v>
      </c>
      <c r="O25" s="3">
        <v>3.5</v>
      </c>
      <c r="P25" s="4">
        <v>1</v>
      </c>
      <c r="Q25" s="4">
        <v>0.5</v>
      </c>
      <c r="R25" s="36"/>
      <c r="S25" s="36"/>
      <c r="T25" s="36"/>
      <c r="U25" s="36"/>
      <c r="V25" s="36"/>
      <c r="W25" s="36"/>
      <c r="X25" s="36"/>
      <c r="Y25" s="36"/>
    </row>
    <row r="26" spans="2:25" x14ac:dyDescent="0.15">
      <c r="C26" s="33" t="s">
        <v>235</v>
      </c>
      <c r="D26" t="s">
        <v>234</v>
      </c>
      <c r="K26" s="14">
        <v>8</v>
      </c>
      <c r="L26" s="3" t="s">
        <v>136</v>
      </c>
      <c r="M26" s="3">
        <v>10</v>
      </c>
      <c r="N26" s="3">
        <v>720</v>
      </c>
      <c r="O26" s="3">
        <v>3.5</v>
      </c>
      <c r="P26" s="4">
        <v>1.5</v>
      </c>
      <c r="Q26" s="4">
        <v>0.5</v>
      </c>
      <c r="R26" s="36"/>
      <c r="S26" s="36"/>
      <c r="T26" s="36"/>
      <c r="U26" s="36"/>
      <c r="V26" s="36"/>
      <c r="W26" s="36"/>
      <c r="X26" s="36"/>
      <c r="Y26" s="36"/>
    </row>
    <row r="27" spans="2:25" x14ac:dyDescent="0.15">
      <c r="K27" s="14">
        <v>9</v>
      </c>
      <c r="L27" s="10" t="s">
        <v>316</v>
      </c>
      <c r="M27" s="3">
        <v>50</v>
      </c>
      <c r="N27" s="3">
        <v>600</v>
      </c>
      <c r="O27" s="3">
        <v>3.5</v>
      </c>
      <c r="P27" s="4">
        <v>3.5</v>
      </c>
      <c r="Q27" s="4">
        <v>1.5</v>
      </c>
      <c r="R27" s="36"/>
      <c r="S27" s="36"/>
      <c r="T27" s="36"/>
      <c r="U27" s="36"/>
      <c r="V27" s="36"/>
      <c r="W27" s="36"/>
      <c r="X27" s="36"/>
      <c r="Y27" s="36"/>
    </row>
    <row r="28" spans="2:25" x14ac:dyDescent="0.15">
      <c r="B28" s="15" t="s">
        <v>138</v>
      </c>
      <c r="C28" s="15" t="s">
        <v>139</v>
      </c>
      <c r="D28" s="16"/>
      <c r="E28" s="16"/>
      <c r="F28" s="16"/>
      <c r="G28" s="16"/>
      <c r="K28" s="14">
        <v>10</v>
      </c>
      <c r="L28" s="10" t="s">
        <v>317</v>
      </c>
      <c r="M28" s="3">
        <v>25</v>
      </c>
      <c r="N28" s="3">
        <v>600</v>
      </c>
      <c r="O28" s="3">
        <v>3.5</v>
      </c>
      <c r="P28" s="4">
        <v>1.5</v>
      </c>
      <c r="Q28" s="4">
        <v>0.5</v>
      </c>
    </row>
    <row r="29" spans="2:25" ht="16.5" x14ac:dyDescent="0.25">
      <c r="D29" s="1" t="s">
        <v>168</v>
      </c>
      <c r="K29" s="14">
        <v>11</v>
      </c>
      <c r="L29" s="10" t="s">
        <v>318</v>
      </c>
      <c r="M29" s="3">
        <v>15</v>
      </c>
      <c r="N29" s="3">
        <v>480</v>
      </c>
      <c r="O29" s="3">
        <v>3.5</v>
      </c>
      <c r="P29" s="4">
        <v>0.7</v>
      </c>
      <c r="Q29" s="4">
        <v>0.3</v>
      </c>
    </row>
    <row r="30" spans="2:25" x14ac:dyDescent="0.15">
      <c r="D30" s="1" t="str">
        <f>CONCATENATE("  =",E17,"×",E18,"×(1÷",E19,")× ",E20)</f>
        <v xml:space="preserve">  =0×50×(1÷600)× 3.5</v>
      </c>
    </row>
    <row r="31" spans="2:25" x14ac:dyDescent="0.15">
      <c r="D31" s="1" t="str">
        <f>CONCATENATE("  =",E32)</f>
        <v xml:space="preserve">  =0</v>
      </c>
    </row>
    <row r="32" spans="2:25" x14ac:dyDescent="0.15">
      <c r="C32" s="27" t="s">
        <v>140</v>
      </c>
      <c r="D32" s="28" t="s">
        <v>64</v>
      </c>
      <c r="E32" s="25">
        <f>ROUND(E17*E18/E19*E20,1)</f>
        <v>0</v>
      </c>
      <c r="F32" s="23" t="s">
        <v>141</v>
      </c>
      <c r="G32" s="17"/>
    </row>
    <row r="34" spans="2:25" x14ac:dyDescent="0.15">
      <c r="B34" s="15" t="s">
        <v>142</v>
      </c>
      <c r="C34" s="15" t="s">
        <v>143</v>
      </c>
      <c r="D34" s="16"/>
      <c r="E34" s="16"/>
      <c r="F34" s="16"/>
      <c r="G34" s="16"/>
      <c r="L34" s="39"/>
      <c r="M34" s="7"/>
      <c r="N34" s="7"/>
      <c r="O34" s="7"/>
      <c r="P34" s="7"/>
      <c r="Q34" s="7"/>
      <c r="R34" s="7"/>
      <c r="S34" s="7"/>
      <c r="T34" s="7"/>
      <c r="U34" s="7"/>
      <c r="V34" s="7"/>
      <c r="W34" s="7"/>
      <c r="X34" s="7"/>
      <c r="Y34" s="7"/>
    </row>
    <row r="35" spans="2:25" ht="16.5" x14ac:dyDescent="0.25">
      <c r="D35" s="1" t="s">
        <v>170</v>
      </c>
      <c r="L35" s="40"/>
      <c r="P35" s="36"/>
      <c r="Q35" s="36"/>
      <c r="R35" s="36"/>
      <c r="S35" s="36"/>
      <c r="T35" s="36"/>
      <c r="U35" s="36"/>
      <c r="V35" s="36"/>
      <c r="W35" s="36"/>
      <c r="X35" s="36"/>
      <c r="Y35" s="36"/>
    </row>
    <row r="36" spans="2:25" x14ac:dyDescent="0.15">
      <c r="D36" s="1" t="str">
        <f>CONCATENATE("   =",E17,"×",E21,"×",E23,"×",E25)</f>
        <v xml:space="preserve">   =0×3.5×7×0.001</v>
      </c>
      <c r="L36" s="40"/>
      <c r="P36" s="41"/>
      <c r="Q36" s="41"/>
      <c r="R36" s="41"/>
      <c r="S36" s="41"/>
      <c r="T36" s="41"/>
      <c r="U36" s="41"/>
      <c r="V36" s="41"/>
      <c r="W36" s="41"/>
      <c r="X36" s="41"/>
      <c r="Y36" s="41"/>
    </row>
    <row r="37" spans="2:25" x14ac:dyDescent="0.15">
      <c r="D37" s="1" t="str">
        <f>CONCATENATE("   =",E38)</f>
        <v xml:space="preserve">   =0</v>
      </c>
    </row>
    <row r="38" spans="2:25" ht="16.5" x14ac:dyDescent="0.25">
      <c r="C38" s="27" t="s">
        <v>144</v>
      </c>
      <c r="D38" s="28" t="s">
        <v>69</v>
      </c>
      <c r="E38" s="25">
        <f>ROUND(E17*E21*E23*E25,1)</f>
        <v>0</v>
      </c>
      <c r="F38" s="23" t="s">
        <v>145</v>
      </c>
      <c r="G38" s="17"/>
    </row>
    <row r="39" spans="2:25" ht="16.5" x14ac:dyDescent="0.25">
      <c r="D39" s="1" t="s">
        <v>171</v>
      </c>
    </row>
    <row r="40" spans="2:25" x14ac:dyDescent="0.15">
      <c r="D40" s="1" t="str">
        <f>CONCATENATE("   =",E17,"×",E22,"×",E24,"×",E25)</f>
        <v xml:space="preserve">   =0×1.5×30×0.001</v>
      </c>
      <c r="L40" s="39"/>
      <c r="M40" s="7"/>
      <c r="N40" s="7"/>
      <c r="O40" s="7"/>
      <c r="P40" s="7"/>
      <c r="Q40" s="7"/>
      <c r="R40" s="7"/>
      <c r="S40" s="7"/>
      <c r="T40" s="7"/>
      <c r="U40" s="7"/>
      <c r="V40" s="7"/>
      <c r="W40" s="7"/>
      <c r="X40" s="7"/>
      <c r="Y40" s="7"/>
    </row>
    <row r="41" spans="2:25" x14ac:dyDescent="0.15">
      <c r="D41" s="1" t="str">
        <f>CONCATENATE("   =",E42)</f>
        <v xml:space="preserve">   =0</v>
      </c>
      <c r="L41" s="40"/>
      <c r="P41" s="36"/>
      <c r="Q41" s="36"/>
      <c r="R41" s="36"/>
      <c r="S41" s="36"/>
      <c r="T41" s="36"/>
      <c r="U41" s="36"/>
      <c r="V41" s="36"/>
      <c r="W41" s="36"/>
      <c r="X41" s="36"/>
      <c r="Y41" s="36"/>
    </row>
    <row r="42" spans="2:25" ht="16.5" x14ac:dyDescent="0.25">
      <c r="C42" s="27" t="s">
        <v>146</v>
      </c>
      <c r="D42" s="28" t="s">
        <v>75</v>
      </c>
      <c r="E42" s="25">
        <f>ROUND(E17*E22*E24*E25,1)</f>
        <v>0</v>
      </c>
      <c r="F42" s="23" t="s">
        <v>147</v>
      </c>
      <c r="G42" s="17"/>
    </row>
    <row r="43" spans="2:25" ht="16.5" x14ac:dyDescent="0.25">
      <c r="D43" s="1" t="s">
        <v>148</v>
      </c>
    </row>
    <row r="44" spans="2:25" x14ac:dyDescent="0.15">
      <c r="D44" s="1" t="str">
        <f>CONCATENATE("   =",E38,"+",E42)</f>
        <v xml:space="preserve">   =0+0</v>
      </c>
      <c r="L44" s="39"/>
      <c r="M44" s="7"/>
      <c r="N44" s="7"/>
      <c r="O44" s="7"/>
      <c r="P44" s="7"/>
      <c r="Q44" s="7"/>
      <c r="R44" s="7"/>
      <c r="S44" s="7"/>
      <c r="T44" s="7"/>
      <c r="U44" s="7"/>
      <c r="V44" s="7"/>
      <c r="W44" s="7"/>
      <c r="X44" s="7"/>
      <c r="Y44" s="7"/>
    </row>
    <row r="45" spans="2:25" x14ac:dyDescent="0.15">
      <c r="D45" s="1" t="str">
        <f>CONCATENATE("   =",E46)</f>
        <v xml:space="preserve">   =0</v>
      </c>
      <c r="L45" s="40"/>
      <c r="P45" s="36"/>
      <c r="Q45" s="36"/>
      <c r="R45" s="36"/>
      <c r="S45" s="36"/>
      <c r="T45" s="36"/>
      <c r="U45" s="36"/>
      <c r="V45" s="36"/>
      <c r="W45" s="36"/>
      <c r="X45" s="36"/>
      <c r="Y45" s="36"/>
    </row>
    <row r="46" spans="2:25" x14ac:dyDescent="0.15">
      <c r="C46" s="27" t="s">
        <v>149</v>
      </c>
      <c r="D46" s="28" t="s">
        <v>83</v>
      </c>
      <c r="E46" s="25">
        <f>E38+E42</f>
        <v>0</v>
      </c>
      <c r="F46" s="23" t="s">
        <v>150</v>
      </c>
      <c r="L46" s="40"/>
      <c r="P46" s="36"/>
      <c r="Q46" s="36"/>
      <c r="R46" s="36"/>
      <c r="S46" s="36"/>
      <c r="T46" s="36"/>
      <c r="U46" s="36"/>
      <c r="V46" s="36"/>
      <c r="W46" s="36"/>
      <c r="X46" s="36"/>
      <c r="Y46" s="36"/>
    </row>
    <row r="47" spans="2:25" x14ac:dyDescent="0.15">
      <c r="L47" s="40"/>
      <c r="P47" s="36"/>
      <c r="Q47" s="36"/>
      <c r="R47" s="36"/>
      <c r="S47" s="36"/>
      <c r="T47" s="36"/>
      <c r="U47" s="36"/>
      <c r="V47" s="36"/>
      <c r="W47" s="36"/>
      <c r="X47" s="36"/>
      <c r="Y47" s="36"/>
    </row>
    <row r="48" spans="2:25" x14ac:dyDescent="0.15">
      <c r="B48" s="16" t="s">
        <v>151</v>
      </c>
      <c r="C48" s="15" t="s">
        <v>89</v>
      </c>
      <c r="D48" s="15"/>
      <c r="E48" s="16"/>
      <c r="F48" s="16"/>
      <c r="G48" s="16"/>
      <c r="L48" s="40"/>
      <c r="P48" s="36"/>
      <c r="Q48" s="36"/>
      <c r="R48" s="36"/>
      <c r="S48" s="36"/>
      <c r="T48" s="36"/>
      <c r="U48" s="36"/>
      <c r="V48" s="36"/>
      <c r="W48" s="36"/>
      <c r="X48" s="36"/>
      <c r="Y48" s="36"/>
    </row>
    <row r="49" spans="2:25" x14ac:dyDescent="0.15">
      <c r="D49" s="1" t="s">
        <v>152</v>
      </c>
      <c r="L49" s="40"/>
      <c r="P49" s="36"/>
      <c r="Q49" s="36"/>
      <c r="R49" s="36"/>
      <c r="S49" s="36"/>
      <c r="T49" s="36"/>
      <c r="U49" s="36"/>
      <c r="V49" s="36"/>
      <c r="W49" s="36"/>
      <c r="X49" s="36"/>
      <c r="Y49" s="36"/>
    </row>
    <row r="50" spans="2:25" x14ac:dyDescent="0.15">
      <c r="D50" s="1" t="s">
        <v>93</v>
      </c>
      <c r="L50" s="40"/>
      <c r="P50" s="36"/>
      <c r="Q50" s="36"/>
      <c r="R50" s="36"/>
      <c r="S50" s="36"/>
      <c r="T50" s="36"/>
      <c r="U50" s="36"/>
      <c r="V50" s="36"/>
      <c r="W50" s="36"/>
      <c r="X50" s="36"/>
      <c r="Y50" s="36"/>
    </row>
    <row r="51" spans="2:25" x14ac:dyDescent="0.15">
      <c r="D51" s="1" t="s">
        <v>90</v>
      </c>
      <c r="E51" s="31" t="s">
        <v>101</v>
      </c>
      <c r="F51" s="34">
        <f>E32</f>
        <v>0</v>
      </c>
      <c r="G51" s="30" t="s">
        <v>94</v>
      </c>
      <c r="L51" s="40"/>
      <c r="P51" s="36"/>
      <c r="Q51" s="36"/>
      <c r="R51" s="36"/>
      <c r="S51" s="36"/>
      <c r="T51" s="36"/>
      <c r="U51" s="36"/>
      <c r="V51" s="36"/>
      <c r="W51" s="36"/>
      <c r="X51" s="36"/>
      <c r="Y51" s="36"/>
    </row>
    <row r="52" spans="2:25" x14ac:dyDescent="0.15">
      <c r="D52" s="32"/>
      <c r="E52" s="31" t="s">
        <v>153</v>
      </c>
      <c r="F52" s="34">
        <f>E46</f>
        <v>0</v>
      </c>
      <c r="G52" s="30" t="s">
        <v>95</v>
      </c>
      <c r="L52" s="40"/>
      <c r="P52" s="36"/>
      <c r="Q52" s="36"/>
      <c r="R52" s="36"/>
      <c r="S52" s="36"/>
      <c r="T52" s="36"/>
      <c r="U52" s="36"/>
      <c r="V52" s="36"/>
      <c r="W52" s="36"/>
      <c r="X52" s="36"/>
      <c r="Y52" s="36"/>
    </row>
    <row r="53" spans="2:25" x14ac:dyDescent="0.15">
      <c r="D53" s="1" t="s">
        <v>91</v>
      </c>
      <c r="L53" s="40"/>
      <c r="P53" s="36"/>
      <c r="Q53" s="36"/>
      <c r="R53" s="36"/>
      <c r="S53" s="36"/>
      <c r="T53" s="36"/>
      <c r="U53" s="36"/>
      <c r="V53" s="36"/>
      <c r="W53" s="36"/>
      <c r="X53" s="36"/>
      <c r="Y53" s="36"/>
    </row>
    <row r="54" spans="2:25" x14ac:dyDescent="0.15">
      <c r="L54" s="40"/>
      <c r="P54" s="36"/>
      <c r="Q54" s="36"/>
      <c r="R54" s="36"/>
      <c r="S54" s="36"/>
      <c r="T54" s="36"/>
      <c r="U54" s="36"/>
      <c r="V54" s="36"/>
      <c r="W54" s="36"/>
      <c r="X54" s="36"/>
      <c r="Y54" s="36"/>
    </row>
    <row r="55" spans="2:25" x14ac:dyDescent="0.15">
      <c r="B55" s="16" t="s">
        <v>154</v>
      </c>
      <c r="C55" s="15" t="s">
        <v>97</v>
      </c>
      <c r="D55" s="15"/>
      <c r="E55" s="16"/>
      <c r="F55" s="16"/>
      <c r="G55" s="16"/>
      <c r="L55" s="40"/>
      <c r="P55" s="36"/>
      <c r="Q55" s="36"/>
      <c r="R55" s="36"/>
      <c r="S55" s="36"/>
      <c r="T55" s="36"/>
      <c r="U55" s="36"/>
      <c r="V55" s="36"/>
      <c r="W55" s="36"/>
      <c r="X55" s="36"/>
      <c r="Y55" s="36"/>
    </row>
    <row r="56" spans="2:25" x14ac:dyDescent="0.15">
      <c r="D56" s="1" t="s">
        <v>100</v>
      </c>
      <c r="L56" s="40"/>
      <c r="P56" s="36"/>
      <c r="Q56" s="36"/>
      <c r="R56" s="36"/>
      <c r="S56" s="36"/>
      <c r="T56" s="36"/>
      <c r="U56" s="36"/>
      <c r="V56" s="36"/>
      <c r="W56" s="36"/>
      <c r="X56" s="36"/>
      <c r="Y56" s="36"/>
    </row>
    <row r="57" spans="2:25" x14ac:dyDescent="0.15">
      <c r="E57" s="31" t="s">
        <v>287</v>
      </c>
      <c r="F57" s="261" t="str">
        <f>VLOOKUP(条件入力!D21,条件入力!I12:L30,2,FALSE)</f>
        <v>　FRP製</v>
      </c>
      <c r="G57" s="261"/>
      <c r="L57" s="40"/>
      <c r="P57" s="36"/>
      <c r="Q57" s="36"/>
      <c r="R57" s="36"/>
      <c r="S57" s="36"/>
      <c r="T57" s="36"/>
      <c r="U57" s="36"/>
      <c r="V57" s="36"/>
      <c r="W57" s="36"/>
      <c r="X57" s="36"/>
      <c r="Y57" s="36"/>
    </row>
    <row r="58" spans="2:25" x14ac:dyDescent="0.15">
      <c r="C58" s="29" t="s">
        <v>104</v>
      </c>
      <c r="D58" s="263"/>
      <c r="E58" s="31" t="s">
        <v>203</v>
      </c>
      <c r="F58" s="271" t="str">
        <f>VLOOKUP(条件入力!D21,条件入力!I12:L30,3,FALSE)</f>
        <v>　側溝式</v>
      </c>
      <c r="G58" s="271"/>
      <c r="L58" s="40"/>
      <c r="P58" s="36"/>
      <c r="Q58" s="36"/>
      <c r="R58" s="36"/>
      <c r="S58" s="36"/>
      <c r="T58" s="36"/>
      <c r="U58" s="36"/>
      <c r="V58" s="36"/>
      <c r="W58" s="36"/>
      <c r="X58" s="36"/>
      <c r="Y58" s="36"/>
    </row>
    <row r="59" spans="2:25" x14ac:dyDescent="0.15">
      <c r="D59" s="264"/>
      <c r="E59" s="31" t="s">
        <v>193</v>
      </c>
      <c r="F59" s="271" t="str">
        <f>VLOOKUP(条件入力!D21,条件入力!I12:L30,4,FALSE)</f>
        <v>　地中埋設専用</v>
      </c>
      <c r="G59" s="271"/>
      <c r="L59" s="40"/>
      <c r="P59" s="36"/>
      <c r="Q59" s="36"/>
      <c r="R59" s="36"/>
      <c r="S59" s="36"/>
      <c r="T59" s="36"/>
      <c r="U59" s="36"/>
      <c r="V59" s="36"/>
      <c r="W59" s="36"/>
      <c r="X59" s="36"/>
      <c r="Y59" s="36"/>
    </row>
    <row r="60" spans="2:25" x14ac:dyDescent="0.15">
      <c r="D60" s="264"/>
      <c r="E60" s="31" t="s">
        <v>98</v>
      </c>
      <c r="F60" s="261" t="str">
        <f ca="1">CONCATENATE("　",阻集器一覧表!C3)</f>
        <v>　HGR-NX50ET</v>
      </c>
      <c r="G60" s="261"/>
      <c r="L60" s="40"/>
      <c r="P60" s="36"/>
      <c r="Q60" s="36"/>
      <c r="R60" s="36"/>
      <c r="S60" s="36"/>
      <c r="T60" s="36"/>
      <c r="U60" s="36"/>
      <c r="V60" s="36"/>
      <c r="W60" s="36"/>
      <c r="X60" s="36"/>
      <c r="Y60" s="36"/>
    </row>
    <row r="61" spans="2:25" x14ac:dyDescent="0.15">
      <c r="D61" s="265"/>
      <c r="E61" s="31" t="s">
        <v>155</v>
      </c>
      <c r="F61" s="138">
        <f ca="1">阻集器一覧表!E3</f>
        <v>50</v>
      </c>
      <c r="G61" s="30" t="s">
        <v>105</v>
      </c>
      <c r="L61" s="40"/>
      <c r="P61" s="36"/>
      <c r="Q61" s="36"/>
      <c r="R61" s="36"/>
      <c r="S61" s="36"/>
      <c r="T61" s="36"/>
      <c r="U61" s="36"/>
      <c r="V61" s="36"/>
      <c r="W61" s="36"/>
      <c r="X61" s="36"/>
      <c r="Y61" s="36"/>
    </row>
    <row r="62" spans="2:25" x14ac:dyDescent="0.15">
      <c r="D62" s="33"/>
      <c r="E62" s="31" t="s">
        <v>156</v>
      </c>
      <c r="F62" s="138">
        <f ca="1">阻集器一覧表!F3</f>
        <v>16.600000000000001</v>
      </c>
      <c r="G62" s="30" t="s">
        <v>106</v>
      </c>
      <c r="L62" s="40"/>
      <c r="P62" s="36"/>
      <c r="Q62" s="36"/>
      <c r="R62" s="36"/>
      <c r="S62" s="36"/>
      <c r="T62" s="36"/>
      <c r="U62" s="36"/>
      <c r="V62" s="36"/>
      <c r="W62" s="36"/>
      <c r="X62" s="36"/>
      <c r="Y62" s="36"/>
    </row>
    <row r="63" spans="2:25" x14ac:dyDescent="0.15">
      <c r="E63" s="31" t="s">
        <v>233</v>
      </c>
      <c r="F63" s="261" t="str">
        <f ca="1">阻集器一覧表!G3</f>
        <v>　有り</v>
      </c>
      <c r="G63" s="261"/>
      <c r="L63" s="42"/>
      <c r="P63" s="36"/>
      <c r="Q63" s="36"/>
      <c r="R63" s="36"/>
      <c r="S63" s="36"/>
      <c r="T63" s="36"/>
      <c r="U63" s="36"/>
      <c r="V63" s="36"/>
      <c r="W63" s="36"/>
      <c r="X63" s="36"/>
      <c r="Y63" s="36"/>
    </row>
    <row r="64" spans="2:25" x14ac:dyDescent="0.15">
      <c r="L64" s="40"/>
      <c r="P64" s="36"/>
      <c r="Q64" s="36"/>
      <c r="R64" s="36"/>
      <c r="S64" s="36"/>
      <c r="T64" s="36"/>
      <c r="U64" s="36"/>
      <c r="V64" s="36"/>
      <c r="W64" s="36"/>
      <c r="X64" s="36"/>
      <c r="Y64" s="36"/>
    </row>
    <row r="65" spans="12:25" x14ac:dyDescent="0.15">
      <c r="L65" s="40"/>
      <c r="P65" s="36"/>
      <c r="Q65" s="36"/>
      <c r="R65" s="36"/>
      <c r="S65" s="36"/>
      <c r="T65" s="36"/>
      <c r="U65" s="36"/>
      <c r="V65" s="36"/>
      <c r="W65" s="36"/>
      <c r="X65" s="36"/>
      <c r="Y65" s="36"/>
    </row>
    <row r="66" spans="12:25" x14ac:dyDescent="0.15">
      <c r="L66" s="40"/>
      <c r="P66" s="36"/>
      <c r="Q66" s="36"/>
      <c r="R66" s="36"/>
      <c r="S66" s="36"/>
      <c r="T66" s="36"/>
      <c r="U66" s="36"/>
      <c r="V66" s="36"/>
      <c r="W66" s="36"/>
      <c r="X66" s="36"/>
      <c r="Y66" s="36"/>
    </row>
    <row r="67" spans="12:25" x14ac:dyDescent="0.15">
      <c r="L67" s="40"/>
      <c r="P67" s="36"/>
      <c r="Q67" s="36"/>
      <c r="R67" s="36"/>
      <c r="S67" s="36"/>
      <c r="T67" s="36"/>
      <c r="U67" s="36"/>
      <c r="V67" s="36"/>
      <c r="W67" s="36"/>
      <c r="X67" s="36"/>
      <c r="Y67" s="36"/>
    </row>
    <row r="68" spans="12:25" x14ac:dyDescent="0.15">
      <c r="L68" s="40"/>
      <c r="P68" s="36"/>
      <c r="Q68" s="36"/>
      <c r="R68" s="36"/>
      <c r="S68" s="36"/>
      <c r="T68" s="36"/>
      <c r="U68" s="36"/>
      <c r="V68" s="36"/>
      <c r="W68" s="36"/>
      <c r="X68" s="36"/>
      <c r="Y68" s="36"/>
    </row>
    <row r="69" spans="12:25" x14ac:dyDescent="0.15">
      <c r="L69" s="40"/>
      <c r="P69" s="36"/>
      <c r="Q69" s="36"/>
      <c r="R69" s="36"/>
      <c r="S69" s="36"/>
      <c r="T69" s="36"/>
      <c r="U69" s="36"/>
      <c r="V69" s="36"/>
      <c r="W69" s="36"/>
      <c r="X69" s="36"/>
      <c r="Y69" s="36"/>
    </row>
    <row r="70" spans="12:25" x14ac:dyDescent="0.15">
      <c r="L70" s="40"/>
      <c r="P70" s="36"/>
      <c r="Q70" s="36"/>
      <c r="R70" s="36"/>
      <c r="S70" s="36"/>
      <c r="T70" s="36"/>
      <c r="U70" s="36"/>
      <c r="V70" s="36"/>
      <c r="W70" s="36"/>
      <c r="X70" s="36"/>
      <c r="Y70" s="36"/>
    </row>
    <row r="71" spans="12:25" x14ac:dyDescent="0.15">
      <c r="L71" s="40"/>
      <c r="P71" s="36"/>
      <c r="Q71" s="36"/>
      <c r="R71" s="36"/>
      <c r="S71" s="36"/>
      <c r="T71" s="36"/>
      <c r="U71" s="36"/>
      <c r="V71" s="36"/>
      <c r="W71" s="36"/>
      <c r="X71" s="36"/>
      <c r="Y71" s="36"/>
    </row>
    <row r="72" spans="12:25" x14ac:dyDescent="0.15">
      <c r="L72" s="40"/>
      <c r="P72" s="36"/>
      <c r="Q72" s="36"/>
      <c r="R72" s="36"/>
      <c r="S72" s="36"/>
      <c r="T72" s="36"/>
      <c r="U72" s="36"/>
      <c r="V72" s="36"/>
      <c r="W72" s="36"/>
      <c r="X72" s="36"/>
      <c r="Y72" s="36"/>
    </row>
    <row r="73" spans="12:25" x14ac:dyDescent="0.15">
      <c r="L73" s="40"/>
      <c r="P73" s="36"/>
      <c r="Q73" s="36"/>
      <c r="R73" s="36"/>
      <c r="S73" s="36"/>
      <c r="T73" s="36"/>
      <c r="U73" s="36"/>
      <c r="V73" s="36"/>
      <c r="W73" s="36"/>
      <c r="X73" s="36"/>
      <c r="Y73" s="36"/>
    </row>
  </sheetData>
  <sheetProtection algorithmName="SHA-512" hashValue="ZMVsOnJ+An6olJaAHqa5oAlJlaYSRmnErKTmapDAbkpnA9g1R62oNryrhLnP7qKmChe/Fzv9WUlFkf9pGGL2rg==" saltValue="etEG5lPcwlsX+1diXmHVfA==" spinCount="100000" sheet="1" objects="1" scenarios="1"/>
  <mergeCells count="14">
    <mergeCell ref="M16:Q16"/>
    <mergeCell ref="B7:F7"/>
    <mergeCell ref="B9:C9"/>
    <mergeCell ref="K16:K18"/>
    <mergeCell ref="F8:G8"/>
    <mergeCell ref="F9:G9"/>
    <mergeCell ref="F10:G10"/>
    <mergeCell ref="F60:G60"/>
    <mergeCell ref="F11:G11"/>
    <mergeCell ref="D58:D61"/>
    <mergeCell ref="F63:G63"/>
    <mergeCell ref="F57:G57"/>
    <mergeCell ref="F58:G58"/>
    <mergeCell ref="F59:G59"/>
  </mergeCells>
  <phoneticPr fontId="2"/>
  <pageMargins left="0.59055118110236227" right="0.19685039370078741" top="0.78740157480314965" bottom="0.59055118110236227"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J76"/>
  <sheetViews>
    <sheetView topLeftCell="A43" zoomScaleNormal="100" workbookViewId="0">
      <selection activeCell="D54" sqref="D54"/>
    </sheetView>
  </sheetViews>
  <sheetFormatPr defaultRowHeight="13.5" x14ac:dyDescent="0.15"/>
  <cols>
    <col min="1" max="1" width="2.25" style="43" customWidth="1"/>
    <col min="2" max="2" width="17.25" style="96" bestFit="1" customWidth="1"/>
    <col min="3" max="3" width="7.125" style="96" bestFit="1" customWidth="1"/>
    <col min="4" max="4" width="80.875" style="43" customWidth="1"/>
    <col min="5" max="5" width="2.25" style="43" customWidth="1"/>
    <col min="6" max="6" width="10.25" style="43" bestFit="1" customWidth="1"/>
    <col min="7" max="7" width="25" style="43" bestFit="1" customWidth="1"/>
    <col min="8" max="8" width="9.5" style="43" bestFit="1" customWidth="1"/>
    <col min="9" max="9" width="27.375" style="43" bestFit="1" customWidth="1"/>
    <col min="10" max="10" width="16.5" style="43" bestFit="1" customWidth="1"/>
    <col min="11" max="16384" width="9" style="43"/>
  </cols>
  <sheetData>
    <row r="2" spans="2:10" ht="27" x14ac:dyDescent="0.15">
      <c r="B2" s="95" t="s">
        <v>215</v>
      </c>
      <c r="C2" s="95" t="s">
        <v>216</v>
      </c>
      <c r="D2" s="74" t="s">
        <v>217</v>
      </c>
      <c r="F2" s="76" t="s">
        <v>221</v>
      </c>
      <c r="G2" s="76" t="s">
        <v>192</v>
      </c>
      <c r="H2" s="77" t="s">
        <v>99</v>
      </c>
      <c r="I2" s="76" t="s">
        <v>193</v>
      </c>
      <c r="J2" s="76" t="s">
        <v>204</v>
      </c>
    </row>
    <row r="3" spans="2:10" x14ac:dyDescent="0.15">
      <c r="B3" s="95">
        <v>39722</v>
      </c>
      <c r="C3" s="95" t="s">
        <v>218</v>
      </c>
      <c r="D3" s="74" t="s">
        <v>219</v>
      </c>
      <c r="F3" s="38" t="s">
        <v>108</v>
      </c>
      <c r="G3" s="38" t="s">
        <v>110</v>
      </c>
      <c r="H3" s="38" t="s">
        <v>181</v>
      </c>
      <c r="I3" s="38" t="s">
        <v>183</v>
      </c>
      <c r="J3" s="38" t="s">
        <v>198</v>
      </c>
    </row>
    <row r="4" spans="2:10" x14ac:dyDescent="0.15">
      <c r="B4" s="95">
        <v>39725</v>
      </c>
      <c r="C4" s="95" t="s">
        <v>218</v>
      </c>
      <c r="D4" s="74" t="s">
        <v>220</v>
      </c>
      <c r="F4" s="38" t="s">
        <v>225</v>
      </c>
      <c r="G4" s="38" t="s">
        <v>111</v>
      </c>
      <c r="H4" s="38" t="s">
        <v>190</v>
      </c>
      <c r="I4" s="38" t="s">
        <v>184</v>
      </c>
      <c r="J4" s="38" t="s">
        <v>199</v>
      </c>
    </row>
    <row r="5" spans="2:10" x14ac:dyDescent="0.15">
      <c r="B5" s="101">
        <v>39728</v>
      </c>
      <c r="C5" s="101" t="s">
        <v>218</v>
      </c>
      <c r="D5" s="102" t="s">
        <v>237</v>
      </c>
      <c r="F5" s="38"/>
      <c r="G5" s="38" t="s">
        <v>177</v>
      </c>
      <c r="H5" s="38"/>
      <c r="I5" s="38" t="s">
        <v>201</v>
      </c>
      <c r="J5" s="38" t="s">
        <v>200</v>
      </c>
    </row>
    <row r="6" spans="2:10" x14ac:dyDescent="0.15">
      <c r="B6" s="103"/>
      <c r="C6" s="103"/>
      <c r="D6" s="104" t="s">
        <v>238</v>
      </c>
      <c r="F6" s="38"/>
      <c r="G6" s="38" t="s">
        <v>178</v>
      </c>
      <c r="H6" s="38"/>
      <c r="I6" s="38" t="s">
        <v>187</v>
      </c>
      <c r="J6" s="38"/>
    </row>
    <row r="7" spans="2:10" x14ac:dyDescent="0.15">
      <c r="B7" s="95">
        <v>39729</v>
      </c>
      <c r="C7" s="95" t="s">
        <v>218</v>
      </c>
      <c r="D7" s="74" t="s">
        <v>222</v>
      </c>
      <c r="F7" s="38"/>
      <c r="G7" s="38" t="s">
        <v>179</v>
      </c>
      <c r="H7" s="38"/>
      <c r="I7" s="38" t="s">
        <v>186</v>
      </c>
      <c r="J7" s="38"/>
    </row>
    <row r="8" spans="2:10" x14ac:dyDescent="0.15">
      <c r="B8" s="101">
        <v>39741</v>
      </c>
      <c r="C8" s="101" t="s">
        <v>218</v>
      </c>
      <c r="D8" s="105" t="s">
        <v>239</v>
      </c>
      <c r="F8" s="38"/>
      <c r="G8" s="38" t="s">
        <v>185</v>
      </c>
      <c r="H8" s="38"/>
      <c r="I8" s="38" t="s">
        <v>109</v>
      </c>
      <c r="J8" s="38"/>
    </row>
    <row r="9" spans="2:10" x14ac:dyDescent="0.15">
      <c r="B9" s="106"/>
      <c r="C9" s="106"/>
      <c r="D9" s="107" t="s">
        <v>240</v>
      </c>
      <c r="F9" s="38"/>
      <c r="G9" s="38" t="s">
        <v>180</v>
      </c>
      <c r="H9" s="38"/>
      <c r="I9" s="38" t="s">
        <v>188</v>
      </c>
      <c r="J9" s="38"/>
    </row>
    <row r="10" spans="2:10" x14ac:dyDescent="0.15">
      <c r="B10" s="103"/>
      <c r="C10" s="103"/>
      <c r="D10" s="104" t="s">
        <v>241</v>
      </c>
      <c r="F10" s="38"/>
      <c r="G10" s="38"/>
      <c r="H10" s="38"/>
      <c r="I10" s="38" t="s">
        <v>189</v>
      </c>
      <c r="J10" s="38"/>
    </row>
    <row r="11" spans="2:10" x14ac:dyDescent="0.15">
      <c r="B11" s="95">
        <v>39742</v>
      </c>
      <c r="C11" s="95" t="s">
        <v>218</v>
      </c>
      <c r="D11" s="97" t="s">
        <v>223</v>
      </c>
      <c r="F11" s="38"/>
      <c r="G11" s="38"/>
      <c r="H11" s="38"/>
      <c r="I11" s="38" t="s">
        <v>202</v>
      </c>
      <c r="J11" s="38"/>
    </row>
    <row r="12" spans="2:10" x14ac:dyDescent="0.15">
      <c r="B12" s="95">
        <v>39867</v>
      </c>
      <c r="C12" s="95" t="s">
        <v>218</v>
      </c>
      <c r="D12" s="97" t="s">
        <v>224</v>
      </c>
      <c r="F12" s="38"/>
      <c r="G12" s="38"/>
      <c r="H12" s="38"/>
      <c r="I12" s="38" t="s">
        <v>194</v>
      </c>
      <c r="J12" s="38"/>
    </row>
    <row r="13" spans="2:10" x14ac:dyDescent="0.15">
      <c r="B13" s="101">
        <v>39923</v>
      </c>
      <c r="C13" s="101" t="s">
        <v>218</v>
      </c>
      <c r="D13" s="102" t="s">
        <v>242</v>
      </c>
      <c r="F13" s="38"/>
      <c r="G13" s="38"/>
      <c r="H13" s="38"/>
      <c r="I13" s="38" t="s">
        <v>195</v>
      </c>
      <c r="J13" s="38"/>
    </row>
    <row r="14" spans="2:10" x14ac:dyDescent="0.15">
      <c r="B14" s="103"/>
      <c r="C14" s="103"/>
      <c r="D14" s="104" t="s">
        <v>243</v>
      </c>
      <c r="F14" s="38"/>
      <c r="G14" s="38"/>
      <c r="H14" s="38"/>
      <c r="I14" s="38" t="s">
        <v>196</v>
      </c>
      <c r="J14" s="38"/>
    </row>
    <row r="15" spans="2:10" x14ac:dyDescent="0.15">
      <c r="B15" s="101">
        <v>39940</v>
      </c>
      <c r="C15" s="101" t="s">
        <v>218</v>
      </c>
      <c r="D15" s="110" t="s">
        <v>245</v>
      </c>
      <c r="F15" s="38"/>
      <c r="G15" s="38"/>
      <c r="H15" s="38"/>
      <c r="I15" s="38" t="s">
        <v>197</v>
      </c>
      <c r="J15" s="38"/>
    </row>
    <row r="16" spans="2:10" x14ac:dyDescent="0.15">
      <c r="B16" s="106"/>
      <c r="C16" s="106"/>
      <c r="D16" s="108" t="s">
        <v>248</v>
      </c>
      <c r="F16" s="38"/>
      <c r="G16" s="38"/>
      <c r="H16" s="38"/>
      <c r="I16" s="38"/>
      <c r="J16" s="38"/>
    </row>
    <row r="17" spans="2:10" x14ac:dyDescent="0.15">
      <c r="B17" s="106"/>
      <c r="C17" s="106"/>
      <c r="D17" s="109" t="s">
        <v>256</v>
      </c>
      <c r="F17" s="38"/>
      <c r="G17" s="38"/>
      <c r="H17" s="38"/>
      <c r="I17" s="38"/>
      <c r="J17" s="38"/>
    </row>
    <row r="18" spans="2:10" x14ac:dyDescent="0.15">
      <c r="B18" s="106"/>
      <c r="C18" s="106"/>
      <c r="D18" s="109" t="s">
        <v>257</v>
      </c>
    </row>
    <row r="19" spans="2:10" x14ac:dyDescent="0.15">
      <c r="B19" s="106"/>
      <c r="C19" s="106"/>
      <c r="D19" s="107" t="s">
        <v>250</v>
      </c>
    </row>
    <row r="20" spans="2:10" x14ac:dyDescent="0.15">
      <c r="B20" s="106"/>
      <c r="C20" s="106"/>
      <c r="D20" s="107" t="s">
        <v>246</v>
      </c>
    </row>
    <row r="21" spans="2:10" x14ac:dyDescent="0.15">
      <c r="B21" s="106"/>
      <c r="C21" s="106"/>
      <c r="D21" s="107" t="s">
        <v>247</v>
      </c>
    </row>
    <row r="22" spans="2:10" x14ac:dyDescent="0.15">
      <c r="B22" s="106"/>
      <c r="C22" s="106"/>
      <c r="D22" s="107" t="s">
        <v>249</v>
      </c>
    </row>
    <row r="23" spans="2:10" x14ac:dyDescent="0.15">
      <c r="B23" s="106"/>
      <c r="C23" s="106"/>
      <c r="D23" s="104" t="s">
        <v>244</v>
      </c>
    </row>
    <row r="24" spans="2:10" x14ac:dyDescent="0.15">
      <c r="B24" s="95">
        <v>39951</v>
      </c>
      <c r="C24" s="95" t="s">
        <v>218</v>
      </c>
      <c r="D24" s="74" t="s">
        <v>251</v>
      </c>
    </row>
    <row r="25" spans="2:10" ht="27" x14ac:dyDescent="0.15">
      <c r="B25" s="95">
        <v>40066</v>
      </c>
      <c r="C25" s="95" t="s">
        <v>218</v>
      </c>
      <c r="D25" s="75" t="s">
        <v>252</v>
      </c>
    </row>
    <row r="26" spans="2:10" ht="27" x14ac:dyDescent="0.15">
      <c r="B26" s="95">
        <v>40070</v>
      </c>
      <c r="C26" s="95" t="s">
        <v>218</v>
      </c>
      <c r="D26" s="75" t="s">
        <v>253</v>
      </c>
    </row>
    <row r="27" spans="2:10" x14ac:dyDescent="0.15">
      <c r="B27" s="95">
        <v>40074</v>
      </c>
      <c r="C27" s="95" t="s">
        <v>218</v>
      </c>
      <c r="D27" s="75" t="s">
        <v>254</v>
      </c>
    </row>
    <row r="28" spans="2:10" x14ac:dyDescent="0.15">
      <c r="B28" s="95">
        <v>40081</v>
      </c>
      <c r="C28" s="95" t="s">
        <v>218</v>
      </c>
      <c r="D28" s="75" t="s">
        <v>255</v>
      </c>
    </row>
    <row r="29" spans="2:10" ht="121.5" x14ac:dyDescent="0.15">
      <c r="B29" s="139">
        <v>40443</v>
      </c>
      <c r="C29" s="139" t="s">
        <v>258</v>
      </c>
      <c r="D29" s="73" t="s">
        <v>288</v>
      </c>
    </row>
    <row r="30" spans="2:10" ht="67.5" x14ac:dyDescent="0.15">
      <c r="B30" s="139">
        <v>40448</v>
      </c>
      <c r="C30" s="139" t="s">
        <v>258</v>
      </c>
      <c r="D30" s="73" t="s">
        <v>304</v>
      </c>
    </row>
    <row r="31" spans="2:10" ht="27" x14ac:dyDescent="0.15">
      <c r="B31" s="165">
        <v>40575</v>
      </c>
      <c r="C31" s="165" t="s">
        <v>258</v>
      </c>
      <c r="D31" s="166" t="s">
        <v>305</v>
      </c>
    </row>
    <row r="32" spans="2:10" x14ac:dyDescent="0.15">
      <c r="B32" s="139">
        <v>40595</v>
      </c>
      <c r="C32" s="139" t="s">
        <v>258</v>
      </c>
      <c r="D32" s="167" t="s">
        <v>306</v>
      </c>
    </row>
    <row r="33" spans="2:4" ht="27" x14ac:dyDescent="0.15">
      <c r="B33" s="139">
        <v>40725</v>
      </c>
      <c r="C33" s="139" t="s">
        <v>258</v>
      </c>
      <c r="D33" s="73" t="s">
        <v>308</v>
      </c>
    </row>
    <row r="34" spans="2:4" x14ac:dyDescent="0.15">
      <c r="B34" s="139">
        <v>41010</v>
      </c>
      <c r="C34" s="139" t="s">
        <v>258</v>
      </c>
      <c r="D34" s="74" t="s">
        <v>309</v>
      </c>
    </row>
    <row r="35" spans="2:4" ht="94.5" x14ac:dyDescent="0.15">
      <c r="B35" s="95">
        <v>41122</v>
      </c>
      <c r="C35" s="95" t="s">
        <v>258</v>
      </c>
      <c r="D35" s="75" t="s">
        <v>310</v>
      </c>
    </row>
    <row r="36" spans="2:4" x14ac:dyDescent="0.15">
      <c r="B36" s="95">
        <v>41304</v>
      </c>
      <c r="C36" s="95" t="s">
        <v>258</v>
      </c>
      <c r="D36" s="74" t="s">
        <v>311</v>
      </c>
    </row>
    <row r="37" spans="2:4" ht="148.5" x14ac:dyDescent="0.15">
      <c r="B37" s="95">
        <v>41518</v>
      </c>
      <c r="C37" s="95" t="s">
        <v>258</v>
      </c>
      <c r="D37" s="75" t="s">
        <v>312</v>
      </c>
    </row>
    <row r="38" spans="2:4" x14ac:dyDescent="0.15">
      <c r="B38" s="95">
        <v>41593</v>
      </c>
      <c r="C38" s="95" t="s">
        <v>258</v>
      </c>
      <c r="D38" s="75" t="s">
        <v>313</v>
      </c>
    </row>
    <row r="39" spans="2:4" x14ac:dyDescent="0.15">
      <c r="B39" s="95">
        <v>42066</v>
      </c>
      <c r="C39" s="95" t="s">
        <v>258</v>
      </c>
      <c r="D39" s="75" t="s">
        <v>314</v>
      </c>
    </row>
    <row r="40" spans="2:4" ht="189" x14ac:dyDescent="0.15">
      <c r="B40" s="95">
        <v>42830</v>
      </c>
      <c r="C40" s="95" t="s">
        <v>258</v>
      </c>
      <c r="D40" s="75" t="s">
        <v>363</v>
      </c>
    </row>
    <row r="41" spans="2:4" x14ac:dyDescent="0.15">
      <c r="B41" s="95">
        <v>43277</v>
      </c>
      <c r="C41" s="95" t="s">
        <v>258</v>
      </c>
      <c r="D41" s="75" t="s">
        <v>393</v>
      </c>
    </row>
    <row r="42" spans="2:4" ht="148.5" x14ac:dyDescent="0.15">
      <c r="B42" s="95">
        <v>43301</v>
      </c>
      <c r="C42" s="95" t="s">
        <v>394</v>
      </c>
      <c r="D42" s="75" t="s">
        <v>395</v>
      </c>
    </row>
    <row r="43" spans="2:4" x14ac:dyDescent="0.15">
      <c r="B43" s="95">
        <v>43388</v>
      </c>
      <c r="C43" s="95" t="s">
        <v>394</v>
      </c>
      <c r="D43" s="75" t="s">
        <v>398</v>
      </c>
    </row>
    <row r="44" spans="2:4" x14ac:dyDescent="0.15">
      <c r="B44" s="95">
        <v>43647</v>
      </c>
      <c r="C44" s="95" t="s">
        <v>258</v>
      </c>
      <c r="D44" s="75" t="s">
        <v>401</v>
      </c>
    </row>
    <row r="45" spans="2:4" x14ac:dyDescent="0.15">
      <c r="B45" s="95">
        <v>43650</v>
      </c>
      <c r="C45" s="95" t="s">
        <v>258</v>
      </c>
      <c r="D45" s="75" t="s">
        <v>402</v>
      </c>
    </row>
    <row r="46" spans="2:4" x14ac:dyDescent="0.15">
      <c r="B46" s="95">
        <v>43705</v>
      </c>
      <c r="C46" s="95" t="s">
        <v>394</v>
      </c>
      <c r="D46" s="74" t="s">
        <v>403</v>
      </c>
    </row>
    <row r="47" spans="2:4" ht="27" x14ac:dyDescent="0.15">
      <c r="B47" s="95">
        <v>43718</v>
      </c>
      <c r="C47" s="95" t="s">
        <v>394</v>
      </c>
      <c r="D47" s="75" t="s">
        <v>404</v>
      </c>
    </row>
    <row r="48" spans="2:4" x14ac:dyDescent="0.15">
      <c r="B48" s="95">
        <v>43763</v>
      </c>
      <c r="C48" s="95" t="s">
        <v>394</v>
      </c>
      <c r="D48" s="75" t="s">
        <v>409</v>
      </c>
    </row>
    <row r="49" spans="2:4" ht="67.5" x14ac:dyDescent="0.15">
      <c r="B49" s="95">
        <v>44092</v>
      </c>
      <c r="C49" s="95" t="s">
        <v>394</v>
      </c>
      <c r="D49" s="75" t="s">
        <v>482</v>
      </c>
    </row>
    <row r="50" spans="2:4" ht="27" x14ac:dyDescent="0.15">
      <c r="B50" s="95">
        <v>44224</v>
      </c>
      <c r="C50" s="95" t="s">
        <v>394</v>
      </c>
      <c r="D50" s="75" t="s">
        <v>483</v>
      </c>
    </row>
    <row r="51" spans="2:4" ht="54" x14ac:dyDescent="0.15">
      <c r="B51" s="95">
        <v>44468</v>
      </c>
      <c r="C51" s="95" t="s">
        <v>394</v>
      </c>
      <c r="D51" s="75" t="s">
        <v>486</v>
      </c>
    </row>
    <row r="52" spans="2:4" x14ac:dyDescent="0.15">
      <c r="B52" s="95">
        <v>45069</v>
      </c>
      <c r="C52" s="95" t="s">
        <v>489</v>
      </c>
      <c r="D52" s="74" t="s">
        <v>495</v>
      </c>
    </row>
    <row r="53" spans="2:4" x14ac:dyDescent="0.15">
      <c r="B53" s="95">
        <v>45223</v>
      </c>
      <c r="C53" s="95" t="s">
        <v>489</v>
      </c>
      <c r="D53" s="75" t="s">
        <v>496</v>
      </c>
    </row>
    <row r="54" spans="2:4" x14ac:dyDescent="0.15">
      <c r="B54" s="95"/>
      <c r="C54" s="95"/>
      <c r="D54" s="75"/>
    </row>
    <row r="55" spans="2:4" x14ac:dyDescent="0.15">
      <c r="B55" s="95"/>
      <c r="C55" s="95"/>
      <c r="D55" s="75"/>
    </row>
    <row r="56" spans="2:4" x14ac:dyDescent="0.15">
      <c r="B56" s="95"/>
      <c r="C56" s="95"/>
      <c r="D56" s="75"/>
    </row>
    <row r="57" spans="2:4" x14ac:dyDescent="0.15">
      <c r="B57" s="95"/>
      <c r="C57" s="95"/>
      <c r="D57" s="75"/>
    </row>
    <row r="58" spans="2:4" x14ac:dyDescent="0.15">
      <c r="B58" s="95"/>
      <c r="C58" s="95"/>
      <c r="D58" s="75"/>
    </row>
    <row r="59" spans="2:4" x14ac:dyDescent="0.15">
      <c r="B59" s="95"/>
      <c r="C59" s="95"/>
      <c r="D59" s="75"/>
    </row>
    <row r="60" spans="2:4" x14ac:dyDescent="0.15">
      <c r="B60" s="95"/>
      <c r="C60" s="95"/>
      <c r="D60" s="75"/>
    </row>
    <row r="61" spans="2:4" x14ac:dyDescent="0.15">
      <c r="B61" s="95"/>
      <c r="C61" s="95"/>
      <c r="D61" s="75"/>
    </row>
    <row r="62" spans="2:4" x14ac:dyDescent="0.15">
      <c r="B62" s="95"/>
      <c r="C62" s="95"/>
      <c r="D62" s="75"/>
    </row>
    <row r="63" spans="2:4" x14ac:dyDescent="0.15">
      <c r="B63" s="95"/>
      <c r="C63" s="95"/>
      <c r="D63" s="75"/>
    </row>
    <row r="64" spans="2:4" x14ac:dyDescent="0.15">
      <c r="B64" s="95"/>
      <c r="C64" s="95"/>
      <c r="D64" s="75"/>
    </row>
    <row r="65" spans="2:4" x14ac:dyDescent="0.15">
      <c r="B65" s="95"/>
      <c r="C65" s="95"/>
      <c r="D65" s="75"/>
    </row>
    <row r="66" spans="2:4" x14ac:dyDescent="0.15">
      <c r="B66" s="95"/>
      <c r="C66" s="95"/>
      <c r="D66" s="75"/>
    </row>
    <row r="67" spans="2:4" x14ac:dyDescent="0.15">
      <c r="B67" s="95"/>
      <c r="C67" s="95"/>
      <c r="D67" s="75"/>
    </row>
    <row r="68" spans="2:4" x14ac:dyDescent="0.15">
      <c r="B68" s="95"/>
      <c r="C68" s="95"/>
      <c r="D68" s="75"/>
    </row>
    <row r="69" spans="2:4" x14ac:dyDescent="0.15">
      <c r="B69" s="95"/>
      <c r="C69" s="95"/>
      <c r="D69" s="75"/>
    </row>
    <row r="70" spans="2:4" x14ac:dyDescent="0.15">
      <c r="B70" s="95"/>
      <c r="C70" s="95"/>
      <c r="D70" s="75"/>
    </row>
    <row r="71" spans="2:4" x14ac:dyDescent="0.15">
      <c r="B71" s="95"/>
      <c r="C71" s="95"/>
      <c r="D71" s="75"/>
    </row>
    <row r="72" spans="2:4" x14ac:dyDescent="0.15">
      <c r="B72" s="95"/>
      <c r="C72" s="95"/>
      <c r="D72" s="75"/>
    </row>
    <row r="73" spans="2:4" x14ac:dyDescent="0.15">
      <c r="B73" s="95"/>
      <c r="C73" s="95"/>
      <c r="D73" s="75"/>
    </row>
    <row r="74" spans="2:4" x14ac:dyDescent="0.15">
      <c r="B74" s="95"/>
      <c r="C74" s="95"/>
      <c r="D74" s="75"/>
    </row>
    <row r="75" spans="2:4" x14ac:dyDescent="0.15">
      <c r="B75" s="95"/>
      <c r="C75" s="95"/>
      <c r="D75" s="75"/>
    </row>
    <row r="76" spans="2:4" x14ac:dyDescent="0.15">
      <c r="B76" s="95"/>
      <c r="C76" s="95"/>
      <c r="D76" s="75"/>
    </row>
  </sheetData>
  <sheetProtection algorithmName="SHA-512" hashValue="0XEhPyj1/Rc//fx3C18cpzW9gd1Psg5V26e11jTpLsQ9Bq2wjGOY1Yp9LT3gGxcpJX6/PMktgNx5x+wCXHCxZA==" saltValue="NWzOSydTbF4ZXhixOqOnHg==" spinCount="100000" sheet="1" objects="1" scenarios="1"/>
  <phoneticPr fontId="2"/>
  <pageMargins left="0.75" right="0.75" top="1" bottom="1" header="0.51200000000000001" footer="0.51200000000000001"/>
  <pageSetup paperSize="8"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R158"/>
  <sheetViews>
    <sheetView zoomScaleNormal="100" workbookViewId="0">
      <pane ySplit="20" topLeftCell="A21" activePane="bottomLeft" state="frozen"/>
      <selection activeCell="D54" sqref="D54"/>
      <selection pane="bottomLeft" activeCell="D54" sqref="D54"/>
    </sheetView>
  </sheetViews>
  <sheetFormatPr defaultRowHeight="13.5" x14ac:dyDescent="0.15"/>
  <cols>
    <col min="1" max="1" width="2.125" style="43" customWidth="1"/>
    <col min="2" max="2" width="8.5" style="44" customWidth="1"/>
    <col min="3" max="3" width="26" style="43" bestFit="1" customWidth="1"/>
    <col min="4" max="4" width="6.625" style="43" bestFit="1" customWidth="1"/>
    <col min="5" max="5" width="13.125" style="43" bestFit="1" customWidth="1"/>
    <col min="6" max="6" width="13" style="43" bestFit="1" customWidth="1"/>
    <col min="7" max="7" width="10.5" style="94" bestFit="1" customWidth="1"/>
    <col min="8" max="8" width="25.5" style="94" bestFit="1" customWidth="1"/>
    <col min="9" max="9" width="10" style="94" bestFit="1" customWidth="1"/>
    <col min="10" max="10" width="27.5" style="94" bestFit="1" customWidth="1"/>
    <col min="11" max="13" width="7.25" style="43" bestFit="1" customWidth="1"/>
    <col min="14" max="14" width="10.625" style="45" bestFit="1" customWidth="1"/>
    <col min="15" max="17" width="7.25" style="43" bestFit="1" customWidth="1"/>
    <col min="18" max="18" width="10.625" style="45" bestFit="1" customWidth="1"/>
    <col min="19" max="16384" width="9" style="43"/>
  </cols>
  <sheetData>
    <row r="1" spans="2:18" x14ac:dyDescent="0.15">
      <c r="B1" s="144" t="s">
        <v>293</v>
      </c>
      <c r="C1" s="44" t="s">
        <v>297</v>
      </c>
      <c r="G1" s="43"/>
      <c r="H1" s="43"/>
      <c r="I1" s="43"/>
      <c r="J1" s="43"/>
    </row>
    <row r="2" spans="2:18" x14ac:dyDescent="0.15">
      <c r="C2" s="43" t="s">
        <v>209</v>
      </c>
      <c r="G2" s="46"/>
      <c r="H2" s="46"/>
      <c r="I2" s="46"/>
      <c r="J2" s="46"/>
    </row>
    <row r="3" spans="2:18" x14ac:dyDescent="0.15">
      <c r="B3" s="142" t="s">
        <v>205</v>
      </c>
      <c r="C3" s="48" t="str">
        <f ca="1">IF(R3=0,"－",OFFSET(C20,P3,0))</f>
        <v>HGR-NX50ET</v>
      </c>
      <c r="D3" s="48">
        <f ca="1">IF(R3=0,"－",OFFSET(D20,P3,0))</f>
        <v>31</v>
      </c>
      <c r="E3" s="48">
        <f ca="1">IF(R3=0,"－",OFFSET(E20,P3,0))</f>
        <v>50</v>
      </c>
      <c r="F3" s="48">
        <f ca="1">IF(R3=0,"－",OFFSET(F20,P3,0))</f>
        <v>16.600000000000001</v>
      </c>
      <c r="G3" s="163" t="str">
        <f ca="1">IF(R3=0,"－",VLOOKUP(OFFSET(C20,P3,4),F5:G19,2))</f>
        <v>　有り</v>
      </c>
      <c r="H3" s="48">
        <f>MATCH(食数計算!F57,H5:H19,0)</f>
        <v>2</v>
      </c>
      <c r="I3" s="48">
        <f>MATCH(食数計算!F58,I5:I19,0)</f>
        <v>1</v>
      </c>
      <c r="J3" s="48">
        <f>MATCH(食数計算!F59,J5:J19,0)</f>
        <v>2</v>
      </c>
      <c r="K3" s="47"/>
      <c r="L3" s="47"/>
      <c r="M3" s="47"/>
      <c r="N3" s="49"/>
      <c r="O3" s="50"/>
      <c r="P3" s="51">
        <f>MATCH(R3,R21:R154,0)</f>
        <v>49</v>
      </c>
      <c r="Q3" s="50" t="s">
        <v>208</v>
      </c>
      <c r="R3" s="52">
        <f>MAX(R21:R154)</f>
        <v>200</v>
      </c>
    </row>
    <row r="4" spans="2:18" x14ac:dyDescent="0.15">
      <c r="B4" s="143" t="s">
        <v>206</v>
      </c>
      <c r="C4" s="53" t="str">
        <f ca="1">IF(N4=0,"－",OFFSET(C20,L4,0))</f>
        <v>HGR-NX120ET</v>
      </c>
      <c r="D4" s="53">
        <f ca="1">IF(N4=0,"－",OFFSET(D20,L4,0))</f>
        <v>84</v>
      </c>
      <c r="E4" s="53">
        <f ca="1">IF(N4=0,"－",OFFSET(E20,L4,0))</f>
        <v>120</v>
      </c>
      <c r="F4" s="53">
        <f ca="1">IF(N4=0,"－",OFFSET(F20,L4,0))</f>
        <v>39.799999999999997</v>
      </c>
      <c r="G4" s="164" t="str">
        <f ca="1">IF(N4=0,"－",VLOOKUP(OFFSET(C20,L4,4),F5:G19,2))</f>
        <v>　有り</v>
      </c>
      <c r="H4" s="53">
        <f>MATCH(面積計算!F60,H5:H19,0)</f>
        <v>2</v>
      </c>
      <c r="I4" s="53">
        <f>MATCH(面積計算!F61,I5:I19,0)</f>
        <v>1</v>
      </c>
      <c r="J4" s="53">
        <f>MATCH(面積計算!F62,J5:J19,0)</f>
        <v>2</v>
      </c>
      <c r="K4" s="54"/>
      <c r="L4" s="55">
        <f ca="1">MATCH(N4,N21:N154,0)</f>
        <v>51</v>
      </c>
      <c r="M4" s="54" t="s">
        <v>207</v>
      </c>
      <c r="N4" s="56">
        <f ca="1">MAX(N21:N154)</f>
        <v>83.333333333333329</v>
      </c>
      <c r="O4" s="57"/>
      <c r="P4" s="58"/>
      <c r="Q4" s="58"/>
      <c r="R4" s="59"/>
    </row>
    <row r="5" spans="2:18" x14ac:dyDescent="0.15">
      <c r="B5" s="44" t="s">
        <v>211</v>
      </c>
      <c r="F5" s="60">
        <v>1</v>
      </c>
      <c r="G5" s="145" t="s">
        <v>292</v>
      </c>
      <c r="H5" s="146" t="s">
        <v>110</v>
      </c>
      <c r="I5" s="146" t="s">
        <v>181</v>
      </c>
      <c r="J5" s="146" t="s">
        <v>183</v>
      </c>
      <c r="K5" s="62"/>
      <c r="L5" s="63"/>
      <c r="M5" s="63"/>
      <c r="N5" s="64"/>
      <c r="O5" s="57"/>
      <c r="P5" s="58"/>
      <c r="Q5" s="58"/>
      <c r="R5" s="65"/>
    </row>
    <row r="6" spans="2:18" x14ac:dyDescent="0.15">
      <c r="B6" s="44" t="s">
        <v>227</v>
      </c>
      <c r="F6" s="60">
        <v>2</v>
      </c>
      <c r="G6" s="145" t="s">
        <v>296</v>
      </c>
      <c r="H6" s="145" t="s">
        <v>111</v>
      </c>
      <c r="I6" s="145" t="s">
        <v>190</v>
      </c>
      <c r="J6" s="145" t="s">
        <v>184</v>
      </c>
      <c r="K6" s="62"/>
      <c r="L6" s="63"/>
      <c r="M6" s="63"/>
      <c r="N6" s="64"/>
      <c r="O6" s="57"/>
      <c r="P6" s="58"/>
      <c r="Q6" s="58"/>
      <c r="R6" s="65"/>
    </row>
    <row r="7" spans="2:18" x14ac:dyDescent="0.15">
      <c r="B7" s="44" t="s">
        <v>226</v>
      </c>
      <c r="F7" s="60">
        <v>3</v>
      </c>
      <c r="G7" s="145"/>
      <c r="H7" s="145" t="s">
        <v>300</v>
      </c>
      <c r="I7" s="145"/>
      <c r="J7" s="145"/>
      <c r="K7" s="62"/>
      <c r="L7" s="63"/>
      <c r="M7" s="63"/>
      <c r="N7" s="64"/>
      <c r="O7" s="57"/>
      <c r="P7" s="58"/>
      <c r="Q7" s="58"/>
      <c r="R7" s="65"/>
    </row>
    <row r="8" spans="2:18" x14ac:dyDescent="0.15">
      <c r="B8" s="44" t="s">
        <v>212</v>
      </c>
      <c r="F8" s="60">
        <v>4</v>
      </c>
      <c r="G8" s="145"/>
      <c r="H8" s="145"/>
      <c r="I8" s="145"/>
      <c r="J8" s="145"/>
      <c r="K8" s="62"/>
      <c r="L8" s="63"/>
      <c r="M8" s="63"/>
      <c r="N8" s="64"/>
      <c r="O8" s="57"/>
      <c r="P8" s="58"/>
      <c r="Q8" s="58"/>
      <c r="R8" s="65"/>
    </row>
    <row r="9" spans="2:18" x14ac:dyDescent="0.15">
      <c r="B9" s="44" t="s">
        <v>355</v>
      </c>
      <c r="F9" s="60">
        <v>5</v>
      </c>
      <c r="G9" s="145"/>
      <c r="H9" s="145"/>
      <c r="I9" s="145"/>
      <c r="J9" s="145" t="s">
        <v>186</v>
      </c>
      <c r="K9" s="62"/>
      <c r="L9" s="63"/>
      <c r="M9" s="63"/>
      <c r="N9" s="64"/>
      <c r="O9" s="57"/>
      <c r="P9" s="58"/>
      <c r="Q9" s="58"/>
      <c r="R9" s="65"/>
    </row>
    <row r="10" spans="2:18" x14ac:dyDescent="0.15">
      <c r="B10" s="44" t="s">
        <v>356</v>
      </c>
      <c r="F10" s="60">
        <v>6</v>
      </c>
      <c r="G10" s="145"/>
      <c r="H10" s="145"/>
      <c r="I10" s="145"/>
      <c r="J10" s="145" t="s">
        <v>109</v>
      </c>
      <c r="K10" s="62"/>
      <c r="L10" s="63"/>
      <c r="M10" s="63"/>
      <c r="N10" s="64"/>
      <c r="O10" s="57"/>
      <c r="P10" s="58"/>
      <c r="Q10" s="58"/>
      <c r="R10" s="65"/>
    </row>
    <row r="11" spans="2:18" x14ac:dyDescent="0.15">
      <c r="B11" s="44" t="s">
        <v>357</v>
      </c>
      <c r="F11" s="60">
        <v>7</v>
      </c>
      <c r="G11" s="145"/>
      <c r="H11" s="145"/>
      <c r="I11" s="145"/>
      <c r="J11" s="145" t="s">
        <v>494</v>
      </c>
      <c r="K11" s="62"/>
      <c r="L11" s="63"/>
      <c r="M11" s="63"/>
      <c r="N11" s="64"/>
      <c r="O11" s="57"/>
      <c r="P11" s="58"/>
      <c r="Q11" s="58"/>
      <c r="R11" s="65"/>
    </row>
    <row r="12" spans="2:18" x14ac:dyDescent="0.15">
      <c r="B12" s="44" t="s">
        <v>358</v>
      </c>
      <c r="F12" s="60">
        <v>8</v>
      </c>
      <c r="G12" s="145"/>
      <c r="H12" s="145"/>
      <c r="I12" s="145"/>
      <c r="J12" s="201" t="s">
        <v>189</v>
      </c>
      <c r="K12" s="62"/>
      <c r="L12" s="63"/>
      <c r="M12" s="63"/>
      <c r="N12" s="64"/>
      <c r="O12" s="57"/>
      <c r="P12" s="58"/>
      <c r="Q12" s="58"/>
      <c r="R12" s="65"/>
    </row>
    <row r="13" spans="2:18" x14ac:dyDescent="0.15">
      <c r="B13" s="44" t="s">
        <v>359</v>
      </c>
      <c r="F13" s="60">
        <v>9</v>
      </c>
      <c r="G13" s="145"/>
      <c r="H13" s="145"/>
      <c r="I13" s="145"/>
      <c r="J13" s="145" t="s">
        <v>202</v>
      </c>
      <c r="K13" s="62"/>
      <c r="L13" s="63"/>
      <c r="M13" s="63"/>
      <c r="N13" s="64"/>
      <c r="O13" s="57"/>
      <c r="P13" s="58"/>
      <c r="Q13" s="58"/>
      <c r="R13" s="65"/>
    </row>
    <row r="14" spans="2:18" x14ac:dyDescent="0.15">
      <c r="B14" s="44" t="s">
        <v>360</v>
      </c>
      <c r="F14" s="60">
        <v>10</v>
      </c>
      <c r="G14" s="145"/>
      <c r="H14" s="145"/>
      <c r="I14" s="145"/>
      <c r="J14" s="202" t="s">
        <v>195</v>
      </c>
      <c r="K14" s="62"/>
      <c r="L14" s="63"/>
      <c r="M14" s="63"/>
      <c r="N14" s="64"/>
      <c r="O14" s="57"/>
      <c r="P14" s="58"/>
      <c r="Q14" s="58"/>
      <c r="R14" s="65"/>
    </row>
    <row r="15" spans="2:18" x14ac:dyDescent="0.15">
      <c r="F15" s="60">
        <v>11</v>
      </c>
      <c r="G15" s="145"/>
      <c r="H15" s="145"/>
      <c r="I15" s="145"/>
      <c r="J15" s="145"/>
      <c r="K15" s="62"/>
      <c r="L15" s="63"/>
      <c r="M15" s="63"/>
      <c r="N15" s="64"/>
      <c r="O15" s="57"/>
      <c r="P15" s="58"/>
      <c r="Q15" s="58"/>
      <c r="R15" s="65"/>
    </row>
    <row r="16" spans="2:18" x14ac:dyDescent="0.15">
      <c r="B16" s="44" t="s">
        <v>228</v>
      </c>
      <c r="F16" s="60">
        <v>12</v>
      </c>
      <c r="G16" s="145"/>
      <c r="H16" s="145"/>
      <c r="I16" s="145"/>
      <c r="J16" s="145"/>
      <c r="K16" s="62"/>
      <c r="L16" s="63"/>
      <c r="M16" s="63"/>
      <c r="N16" s="64"/>
      <c r="O16" s="57"/>
      <c r="P16" s="58"/>
      <c r="Q16" s="58"/>
      <c r="R16" s="65"/>
    </row>
    <row r="17" spans="2:18" x14ac:dyDescent="0.15">
      <c r="B17" s="44" t="s">
        <v>361</v>
      </c>
      <c r="F17" s="60">
        <v>13</v>
      </c>
      <c r="G17" s="145"/>
      <c r="H17" s="145"/>
      <c r="I17" s="145"/>
      <c r="J17" s="145"/>
      <c r="K17" s="62"/>
      <c r="L17" s="63"/>
      <c r="M17" s="63"/>
      <c r="N17" s="64"/>
      <c r="O17" s="57"/>
      <c r="P17" s="58"/>
      <c r="Q17" s="58"/>
      <c r="R17" s="65"/>
    </row>
    <row r="18" spans="2:18" x14ac:dyDescent="0.15">
      <c r="F18" s="60">
        <v>14</v>
      </c>
      <c r="G18" s="145"/>
      <c r="H18" s="145"/>
      <c r="I18" s="145"/>
      <c r="J18" s="145"/>
      <c r="K18" s="62"/>
      <c r="L18" s="63"/>
      <c r="M18" s="63"/>
      <c r="N18" s="64"/>
      <c r="O18" s="57"/>
      <c r="P18" s="58"/>
      <c r="Q18" s="58"/>
      <c r="R18" s="65"/>
    </row>
    <row r="19" spans="2:18" x14ac:dyDescent="0.15">
      <c r="B19" s="43" t="s">
        <v>362</v>
      </c>
      <c r="E19" s="66"/>
      <c r="F19" s="60">
        <v>15</v>
      </c>
      <c r="G19" s="147"/>
      <c r="H19" s="147"/>
      <c r="I19" s="147"/>
      <c r="J19" s="145"/>
      <c r="K19" s="67"/>
      <c r="L19" s="68"/>
      <c r="M19" s="68"/>
      <c r="N19" s="69"/>
      <c r="O19" s="70"/>
      <c r="P19" s="71"/>
      <c r="Q19" s="71"/>
      <c r="R19" s="72"/>
    </row>
    <row r="20" spans="2:18" ht="40.5" x14ac:dyDescent="0.15">
      <c r="B20" s="73" t="s">
        <v>182</v>
      </c>
      <c r="C20" s="74" t="s">
        <v>98</v>
      </c>
      <c r="D20" s="75" t="s">
        <v>118</v>
      </c>
      <c r="E20" s="75" t="s">
        <v>116</v>
      </c>
      <c r="F20" s="75" t="s">
        <v>117</v>
      </c>
      <c r="G20" s="76" t="s">
        <v>191</v>
      </c>
      <c r="H20" s="76" t="s">
        <v>192</v>
      </c>
      <c r="I20" s="77" t="s">
        <v>99</v>
      </c>
      <c r="J20" s="76" t="s">
        <v>193</v>
      </c>
      <c r="K20" s="78" t="s">
        <v>113</v>
      </c>
      <c r="L20" s="78" t="s">
        <v>114</v>
      </c>
      <c r="M20" s="79" t="s">
        <v>115</v>
      </c>
      <c r="N20" s="80" t="s">
        <v>119</v>
      </c>
      <c r="O20" s="81" t="s">
        <v>113</v>
      </c>
      <c r="P20" s="81" t="s">
        <v>114</v>
      </c>
      <c r="Q20" s="82" t="s">
        <v>115</v>
      </c>
      <c r="R20" s="83" t="s">
        <v>119</v>
      </c>
    </row>
    <row r="21" spans="2:18" x14ac:dyDescent="0.15">
      <c r="B21" s="203"/>
      <c r="C21" s="204" t="s">
        <v>410</v>
      </c>
      <c r="D21" s="186">
        <v>35</v>
      </c>
      <c r="E21" s="187">
        <v>50</v>
      </c>
      <c r="F21" s="188">
        <f t="shared" ref="F21:F44" si="0">ROUNDDOWN(E21*0.332,1)</f>
        <v>16.600000000000001</v>
      </c>
      <c r="G21" s="189">
        <v>1</v>
      </c>
      <c r="H21" s="189">
        <v>1</v>
      </c>
      <c r="I21" s="190">
        <v>1</v>
      </c>
      <c r="J21" s="189">
        <v>1</v>
      </c>
      <c r="K21" s="87">
        <f t="shared" ref="K21:K28" si="1">IF(AND(H21=$H$4,I21=$I$4,J21=$J$4),1,0)</f>
        <v>0</v>
      </c>
      <c r="L21" s="87">
        <f ca="1">IF(OR(E21&lt;面積計算!$F$54,F21&lt;面積計算!$F$55),0,1)</f>
        <v>0</v>
      </c>
      <c r="M21" s="87">
        <f t="shared" ref="M21:M28" ca="1" si="2">K21*L21</f>
        <v>0</v>
      </c>
      <c r="N21" s="88">
        <f t="shared" ref="N21:N28" ca="1" si="3">M21/E21*10000</f>
        <v>0</v>
      </c>
      <c r="O21" s="89">
        <f t="shared" ref="O21:O28" si="4">IF(AND(H21=$H$3,I21=$I$3,J21=$J$3),1,0)</f>
        <v>0</v>
      </c>
      <c r="P21" s="89">
        <f>IF(OR(E21&lt;食数計算!$F$51,F21&lt;食数計算!$F$52),0,1)</f>
        <v>1</v>
      </c>
      <c r="Q21" s="89">
        <f t="shared" ref="Q21:Q28" si="5">O21*P21</f>
        <v>0</v>
      </c>
      <c r="R21" s="90">
        <f t="shared" ref="R21:R28" si="6">Q21/E21*10000</f>
        <v>0</v>
      </c>
    </row>
    <row r="22" spans="2:18" x14ac:dyDescent="0.15">
      <c r="B22" s="203"/>
      <c r="C22" s="204" t="s">
        <v>411</v>
      </c>
      <c r="D22" s="186">
        <v>67</v>
      </c>
      <c r="E22" s="187">
        <v>70</v>
      </c>
      <c r="F22" s="188">
        <f t="shared" si="0"/>
        <v>23.2</v>
      </c>
      <c r="G22" s="189">
        <v>1</v>
      </c>
      <c r="H22" s="189">
        <v>1</v>
      </c>
      <c r="I22" s="190">
        <v>1</v>
      </c>
      <c r="J22" s="189">
        <v>1</v>
      </c>
      <c r="K22" s="87">
        <f t="shared" si="1"/>
        <v>0</v>
      </c>
      <c r="L22" s="87">
        <f ca="1">IF(OR(E22&lt;面積計算!$F$54,F22&lt;面積計算!$F$55),0,1)</f>
        <v>0</v>
      </c>
      <c r="M22" s="87">
        <f t="shared" ca="1" si="2"/>
        <v>0</v>
      </c>
      <c r="N22" s="88">
        <f t="shared" ca="1" si="3"/>
        <v>0</v>
      </c>
      <c r="O22" s="89">
        <f t="shared" si="4"/>
        <v>0</v>
      </c>
      <c r="P22" s="89">
        <f>IF(OR(E22&lt;食数計算!$F$51,F22&lt;食数計算!$F$52),0,1)</f>
        <v>1</v>
      </c>
      <c r="Q22" s="89">
        <f t="shared" si="5"/>
        <v>0</v>
      </c>
      <c r="R22" s="90">
        <f t="shared" si="6"/>
        <v>0</v>
      </c>
    </row>
    <row r="23" spans="2:18" x14ac:dyDescent="0.15">
      <c r="B23" s="203"/>
      <c r="C23" s="204" t="s">
        <v>412</v>
      </c>
      <c r="D23" s="186">
        <v>84</v>
      </c>
      <c r="E23" s="187">
        <v>120</v>
      </c>
      <c r="F23" s="188">
        <f t="shared" si="0"/>
        <v>39.799999999999997</v>
      </c>
      <c r="G23" s="189">
        <v>1</v>
      </c>
      <c r="H23" s="189">
        <v>1</v>
      </c>
      <c r="I23" s="190">
        <v>1</v>
      </c>
      <c r="J23" s="189">
        <v>1</v>
      </c>
      <c r="K23" s="87">
        <f t="shared" si="1"/>
        <v>0</v>
      </c>
      <c r="L23" s="87">
        <f ca="1">IF(OR(E23&lt;面積計算!$F$54,F23&lt;面積計算!$F$55),0,1)</f>
        <v>1</v>
      </c>
      <c r="M23" s="87">
        <f t="shared" ca="1" si="2"/>
        <v>0</v>
      </c>
      <c r="N23" s="88">
        <f t="shared" ca="1" si="3"/>
        <v>0</v>
      </c>
      <c r="O23" s="89">
        <f t="shared" si="4"/>
        <v>0</v>
      </c>
      <c r="P23" s="89">
        <f>IF(OR(E23&lt;食数計算!$F$51,F23&lt;食数計算!$F$52),0,1)</f>
        <v>1</v>
      </c>
      <c r="Q23" s="89">
        <f t="shared" si="5"/>
        <v>0</v>
      </c>
      <c r="R23" s="90">
        <f t="shared" si="6"/>
        <v>0</v>
      </c>
    </row>
    <row r="24" spans="2:18" x14ac:dyDescent="0.15">
      <c r="B24" s="203"/>
      <c r="C24" s="204" t="s">
        <v>413</v>
      </c>
      <c r="D24" s="186">
        <v>106</v>
      </c>
      <c r="E24" s="187">
        <v>150</v>
      </c>
      <c r="F24" s="188">
        <f t="shared" si="0"/>
        <v>49.8</v>
      </c>
      <c r="G24" s="189">
        <v>1</v>
      </c>
      <c r="H24" s="189">
        <v>1</v>
      </c>
      <c r="I24" s="190">
        <v>1</v>
      </c>
      <c r="J24" s="189">
        <v>1</v>
      </c>
      <c r="K24" s="87">
        <f t="shared" si="1"/>
        <v>0</v>
      </c>
      <c r="L24" s="87">
        <f ca="1">IF(OR(E24&lt;面積計算!$F$54,F24&lt;面積計算!$F$55),0,1)</f>
        <v>1</v>
      </c>
      <c r="M24" s="87">
        <f t="shared" ca="1" si="2"/>
        <v>0</v>
      </c>
      <c r="N24" s="88">
        <f t="shared" ca="1" si="3"/>
        <v>0</v>
      </c>
      <c r="O24" s="89">
        <f t="shared" si="4"/>
        <v>0</v>
      </c>
      <c r="P24" s="89">
        <f>IF(OR(E24&lt;食数計算!$F$51,F24&lt;食数計算!$F$52),0,1)</f>
        <v>1</v>
      </c>
      <c r="Q24" s="89">
        <f t="shared" si="5"/>
        <v>0</v>
      </c>
      <c r="R24" s="90">
        <f t="shared" si="6"/>
        <v>0</v>
      </c>
    </row>
    <row r="25" spans="2:18" x14ac:dyDescent="0.15">
      <c r="B25" s="203"/>
      <c r="C25" s="204" t="s">
        <v>414</v>
      </c>
      <c r="D25" s="186">
        <v>134</v>
      </c>
      <c r="E25" s="187">
        <v>200</v>
      </c>
      <c r="F25" s="188">
        <f t="shared" si="0"/>
        <v>66.400000000000006</v>
      </c>
      <c r="G25" s="189">
        <v>1</v>
      </c>
      <c r="H25" s="189">
        <v>1</v>
      </c>
      <c r="I25" s="190">
        <v>1</v>
      </c>
      <c r="J25" s="189">
        <v>1</v>
      </c>
      <c r="K25" s="87">
        <f t="shared" si="1"/>
        <v>0</v>
      </c>
      <c r="L25" s="87">
        <f ca="1">IF(OR(E25&lt;面積計算!$F$54,F25&lt;面積計算!$F$55),0,1)</f>
        <v>1</v>
      </c>
      <c r="M25" s="87">
        <f t="shared" ca="1" si="2"/>
        <v>0</v>
      </c>
      <c r="N25" s="88">
        <f t="shared" ca="1" si="3"/>
        <v>0</v>
      </c>
      <c r="O25" s="89">
        <f t="shared" si="4"/>
        <v>0</v>
      </c>
      <c r="P25" s="89">
        <f>IF(OR(E25&lt;食数計算!$F$51,F25&lt;食数計算!$F$52),0,1)</f>
        <v>1</v>
      </c>
      <c r="Q25" s="89">
        <f t="shared" si="5"/>
        <v>0</v>
      </c>
      <c r="R25" s="90">
        <f t="shared" si="6"/>
        <v>0</v>
      </c>
    </row>
    <row r="26" spans="2:18" x14ac:dyDescent="0.15">
      <c r="B26" s="203"/>
      <c r="C26" s="204" t="s">
        <v>415</v>
      </c>
      <c r="D26" s="186">
        <v>189</v>
      </c>
      <c r="E26" s="187">
        <v>250</v>
      </c>
      <c r="F26" s="188">
        <f t="shared" si="0"/>
        <v>83</v>
      </c>
      <c r="G26" s="189">
        <v>1</v>
      </c>
      <c r="H26" s="189">
        <v>1</v>
      </c>
      <c r="I26" s="190">
        <v>1</v>
      </c>
      <c r="J26" s="189">
        <v>1</v>
      </c>
      <c r="K26" s="87">
        <f t="shared" si="1"/>
        <v>0</v>
      </c>
      <c r="L26" s="87">
        <f ca="1">IF(OR(E26&lt;面積計算!$F$54,F26&lt;面積計算!$F$55),0,1)</f>
        <v>1</v>
      </c>
      <c r="M26" s="87">
        <f t="shared" ca="1" si="2"/>
        <v>0</v>
      </c>
      <c r="N26" s="88">
        <f t="shared" ca="1" si="3"/>
        <v>0</v>
      </c>
      <c r="O26" s="89">
        <f t="shared" si="4"/>
        <v>0</v>
      </c>
      <c r="P26" s="89">
        <f>IF(OR(E26&lt;食数計算!$F$51,F26&lt;食数計算!$F$52),0,1)</f>
        <v>1</v>
      </c>
      <c r="Q26" s="89">
        <f t="shared" si="5"/>
        <v>0</v>
      </c>
      <c r="R26" s="90">
        <f t="shared" si="6"/>
        <v>0</v>
      </c>
    </row>
    <row r="27" spans="2:18" x14ac:dyDescent="0.15">
      <c r="B27" s="203"/>
      <c r="C27" s="204" t="s">
        <v>416</v>
      </c>
      <c r="D27" s="186">
        <v>221</v>
      </c>
      <c r="E27" s="187">
        <v>300</v>
      </c>
      <c r="F27" s="188">
        <f t="shared" si="0"/>
        <v>99.6</v>
      </c>
      <c r="G27" s="189">
        <v>1</v>
      </c>
      <c r="H27" s="189">
        <v>1</v>
      </c>
      <c r="I27" s="190">
        <v>1</v>
      </c>
      <c r="J27" s="189">
        <v>1</v>
      </c>
      <c r="K27" s="87">
        <f t="shared" si="1"/>
        <v>0</v>
      </c>
      <c r="L27" s="87">
        <f ca="1">IF(OR(E27&lt;面積計算!$F$54,F27&lt;面積計算!$F$55),0,1)</f>
        <v>1</v>
      </c>
      <c r="M27" s="87">
        <f t="shared" ca="1" si="2"/>
        <v>0</v>
      </c>
      <c r="N27" s="88">
        <f t="shared" ca="1" si="3"/>
        <v>0</v>
      </c>
      <c r="O27" s="89">
        <f t="shared" si="4"/>
        <v>0</v>
      </c>
      <c r="P27" s="89">
        <f>IF(OR(E27&lt;食数計算!$F$51,F27&lt;食数計算!$F$52),0,1)</f>
        <v>1</v>
      </c>
      <c r="Q27" s="89">
        <f t="shared" si="5"/>
        <v>0</v>
      </c>
      <c r="R27" s="90">
        <f t="shared" si="6"/>
        <v>0</v>
      </c>
    </row>
    <row r="28" spans="2:18" x14ac:dyDescent="0.15">
      <c r="B28" s="234"/>
      <c r="C28" s="204" t="s">
        <v>417</v>
      </c>
      <c r="D28" s="186">
        <v>286</v>
      </c>
      <c r="E28" s="187">
        <v>400</v>
      </c>
      <c r="F28" s="188">
        <f t="shared" si="0"/>
        <v>132.80000000000001</v>
      </c>
      <c r="G28" s="189">
        <v>1</v>
      </c>
      <c r="H28" s="189">
        <v>1</v>
      </c>
      <c r="I28" s="190">
        <v>1</v>
      </c>
      <c r="J28" s="189">
        <v>1</v>
      </c>
      <c r="K28" s="87">
        <f t="shared" si="1"/>
        <v>0</v>
      </c>
      <c r="L28" s="87">
        <f ca="1">IF(OR(E28&lt;面積計算!$F$54,F28&lt;面積計算!$F$55),0,1)</f>
        <v>1</v>
      </c>
      <c r="M28" s="87">
        <f t="shared" ca="1" si="2"/>
        <v>0</v>
      </c>
      <c r="N28" s="88">
        <f t="shared" ca="1" si="3"/>
        <v>0</v>
      </c>
      <c r="O28" s="89">
        <f t="shared" si="4"/>
        <v>0</v>
      </c>
      <c r="P28" s="89">
        <f>IF(OR(E28&lt;食数計算!$F$51,F28&lt;食数計算!$F$52),0,1)</f>
        <v>1</v>
      </c>
      <c r="Q28" s="89">
        <f t="shared" si="5"/>
        <v>0</v>
      </c>
      <c r="R28" s="90">
        <f t="shared" si="6"/>
        <v>0</v>
      </c>
    </row>
    <row r="29" spans="2:18" x14ac:dyDescent="0.15">
      <c r="B29" s="203"/>
      <c r="C29" s="228" t="s">
        <v>418</v>
      </c>
      <c r="D29" s="229">
        <v>35</v>
      </c>
      <c r="E29" s="230">
        <v>50</v>
      </c>
      <c r="F29" s="231">
        <f t="shared" ref="F29:F36" si="7">ROUNDDOWN(E29*0.332,1)</f>
        <v>16.600000000000001</v>
      </c>
      <c r="G29" s="232">
        <v>1</v>
      </c>
      <c r="H29" s="232">
        <v>1</v>
      </c>
      <c r="I29" s="233">
        <v>1</v>
      </c>
      <c r="J29" s="232">
        <v>2</v>
      </c>
      <c r="K29" s="222">
        <f t="shared" ref="K29:K60" si="8">IF(AND(H29=$H$4,I29=$I$4,J29=$J$4),1,0)</f>
        <v>0</v>
      </c>
      <c r="L29" s="222">
        <f ca="1">IF(OR(E29&lt;面積計算!$F$54,F29&lt;面積計算!$F$55),0,1)</f>
        <v>0</v>
      </c>
      <c r="M29" s="222">
        <f t="shared" ref="M29:M60" ca="1" si="9">K29*L29</f>
        <v>0</v>
      </c>
      <c r="N29" s="223">
        <f t="shared" ref="N29:N60" ca="1" si="10">M29/E29*10000</f>
        <v>0</v>
      </c>
      <c r="O29" s="224">
        <f t="shared" ref="O29:O60" si="11">IF(AND(H29=$H$3,I29=$I$3,J29=$J$3),1,0)</f>
        <v>0</v>
      </c>
      <c r="P29" s="224">
        <f>IF(OR(E29&lt;食数計算!$F$51,F29&lt;食数計算!$F$52),0,1)</f>
        <v>1</v>
      </c>
      <c r="Q29" s="224">
        <f t="shared" ref="Q29:Q60" si="12">O29*P29</f>
        <v>0</v>
      </c>
      <c r="R29" s="225">
        <f t="shared" ref="R29:R60" si="13">Q29/E29*10000</f>
        <v>0</v>
      </c>
    </row>
    <row r="30" spans="2:18" x14ac:dyDescent="0.15">
      <c r="B30" s="203"/>
      <c r="C30" s="204" t="s">
        <v>419</v>
      </c>
      <c r="D30" s="186">
        <v>67</v>
      </c>
      <c r="E30" s="187">
        <v>70</v>
      </c>
      <c r="F30" s="188">
        <f t="shared" si="7"/>
        <v>23.2</v>
      </c>
      <c r="G30" s="189">
        <v>1</v>
      </c>
      <c r="H30" s="189">
        <v>1</v>
      </c>
      <c r="I30" s="190">
        <v>1</v>
      </c>
      <c r="J30" s="189">
        <v>2</v>
      </c>
      <c r="K30" s="87">
        <f t="shared" si="8"/>
        <v>0</v>
      </c>
      <c r="L30" s="87">
        <f ca="1">IF(OR(E30&lt;面積計算!$F$54,F30&lt;面積計算!$F$55),0,1)</f>
        <v>0</v>
      </c>
      <c r="M30" s="87">
        <f t="shared" ca="1" si="9"/>
        <v>0</v>
      </c>
      <c r="N30" s="88">
        <f t="shared" ca="1" si="10"/>
        <v>0</v>
      </c>
      <c r="O30" s="89">
        <f t="shared" si="11"/>
        <v>0</v>
      </c>
      <c r="P30" s="89">
        <f>IF(OR(E30&lt;食数計算!$F$51,F30&lt;食数計算!$F$52),0,1)</f>
        <v>1</v>
      </c>
      <c r="Q30" s="89">
        <f t="shared" si="12"/>
        <v>0</v>
      </c>
      <c r="R30" s="90">
        <f t="shared" si="13"/>
        <v>0</v>
      </c>
    </row>
    <row r="31" spans="2:18" x14ac:dyDescent="0.15">
      <c r="B31" s="203"/>
      <c r="C31" s="204" t="s">
        <v>420</v>
      </c>
      <c r="D31" s="186">
        <v>84</v>
      </c>
      <c r="E31" s="187">
        <v>120</v>
      </c>
      <c r="F31" s="188">
        <f t="shared" si="7"/>
        <v>39.799999999999997</v>
      </c>
      <c r="G31" s="189">
        <v>1</v>
      </c>
      <c r="H31" s="189">
        <v>1</v>
      </c>
      <c r="I31" s="190">
        <v>1</v>
      </c>
      <c r="J31" s="189">
        <v>2</v>
      </c>
      <c r="K31" s="87">
        <f t="shared" si="8"/>
        <v>0</v>
      </c>
      <c r="L31" s="87">
        <f ca="1">IF(OR(E31&lt;面積計算!$F$54,F31&lt;面積計算!$F$55),0,1)</f>
        <v>1</v>
      </c>
      <c r="M31" s="87">
        <f t="shared" ca="1" si="9"/>
        <v>0</v>
      </c>
      <c r="N31" s="88">
        <f t="shared" ca="1" si="10"/>
        <v>0</v>
      </c>
      <c r="O31" s="89">
        <f t="shared" si="11"/>
        <v>0</v>
      </c>
      <c r="P31" s="89">
        <f>IF(OR(E31&lt;食数計算!$F$51,F31&lt;食数計算!$F$52),0,1)</f>
        <v>1</v>
      </c>
      <c r="Q31" s="89">
        <f t="shared" si="12"/>
        <v>0</v>
      </c>
      <c r="R31" s="90">
        <f t="shared" si="13"/>
        <v>0</v>
      </c>
    </row>
    <row r="32" spans="2:18" x14ac:dyDescent="0.15">
      <c r="B32" s="203"/>
      <c r="C32" s="204" t="s">
        <v>421</v>
      </c>
      <c r="D32" s="186">
        <v>106</v>
      </c>
      <c r="E32" s="187">
        <v>150</v>
      </c>
      <c r="F32" s="188">
        <f t="shared" si="7"/>
        <v>49.8</v>
      </c>
      <c r="G32" s="189">
        <v>1</v>
      </c>
      <c r="H32" s="189">
        <v>1</v>
      </c>
      <c r="I32" s="190">
        <v>1</v>
      </c>
      <c r="J32" s="189">
        <v>2</v>
      </c>
      <c r="K32" s="87">
        <f t="shared" si="8"/>
        <v>0</v>
      </c>
      <c r="L32" s="87">
        <f ca="1">IF(OR(E32&lt;面積計算!$F$54,F32&lt;面積計算!$F$55),0,1)</f>
        <v>1</v>
      </c>
      <c r="M32" s="87">
        <f t="shared" ca="1" si="9"/>
        <v>0</v>
      </c>
      <c r="N32" s="88">
        <f t="shared" ca="1" si="10"/>
        <v>0</v>
      </c>
      <c r="O32" s="89">
        <f t="shared" si="11"/>
        <v>0</v>
      </c>
      <c r="P32" s="89">
        <f>IF(OR(E32&lt;食数計算!$F$51,F32&lt;食数計算!$F$52),0,1)</f>
        <v>1</v>
      </c>
      <c r="Q32" s="89">
        <f t="shared" si="12"/>
        <v>0</v>
      </c>
      <c r="R32" s="90">
        <f t="shared" si="13"/>
        <v>0</v>
      </c>
    </row>
    <row r="33" spans="2:18" x14ac:dyDescent="0.15">
      <c r="B33" s="203"/>
      <c r="C33" s="204" t="s">
        <v>422</v>
      </c>
      <c r="D33" s="186">
        <v>134</v>
      </c>
      <c r="E33" s="187">
        <v>200</v>
      </c>
      <c r="F33" s="188">
        <f t="shared" si="7"/>
        <v>66.400000000000006</v>
      </c>
      <c r="G33" s="189">
        <v>1</v>
      </c>
      <c r="H33" s="189">
        <v>1</v>
      </c>
      <c r="I33" s="190">
        <v>1</v>
      </c>
      <c r="J33" s="189">
        <v>2</v>
      </c>
      <c r="K33" s="87">
        <f t="shared" si="8"/>
        <v>0</v>
      </c>
      <c r="L33" s="87">
        <f ca="1">IF(OR(E33&lt;面積計算!$F$54,F33&lt;面積計算!$F$55),0,1)</f>
        <v>1</v>
      </c>
      <c r="M33" s="87">
        <f t="shared" ca="1" si="9"/>
        <v>0</v>
      </c>
      <c r="N33" s="88">
        <f t="shared" ca="1" si="10"/>
        <v>0</v>
      </c>
      <c r="O33" s="89">
        <f t="shared" si="11"/>
        <v>0</v>
      </c>
      <c r="P33" s="89">
        <f>IF(OR(E33&lt;食数計算!$F$51,F33&lt;食数計算!$F$52),0,1)</f>
        <v>1</v>
      </c>
      <c r="Q33" s="89">
        <f t="shared" si="12"/>
        <v>0</v>
      </c>
      <c r="R33" s="90">
        <f t="shared" si="13"/>
        <v>0</v>
      </c>
    </row>
    <row r="34" spans="2:18" x14ac:dyDescent="0.15">
      <c r="B34" s="203"/>
      <c r="C34" s="204" t="s">
        <v>423</v>
      </c>
      <c r="D34" s="186">
        <v>189</v>
      </c>
      <c r="E34" s="187">
        <v>250</v>
      </c>
      <c r="F34" s="188">
        <f t="shared" si="7"/>
        <v>83</v>
      </c>
      <c r="G34" s="189">
        <v>1</v>
      </c>
      <c r="H34" s="189">
        <v>1</v>
      </c>
      <c r="I34" s="190">
        <v>1</v>
      </c>
      <c r="J34" s="189">
        <v>2</v>
      </c>
      <c r="K34" s="87">
        <f t="shared" si="8"/>
        <v>0</v>
      </c>
      <c r="L34" s="87">
        <f ca="1">IF(OR(E34&lt;面積計算!$F$54,F34&lt;面積計算!$F$55),0,1)</f>
        <v>1</v>
      </c>
      <c r="M34" s="87">
        <f t="shared" ca="1" si="9"/>
        <v>0</v>
      </c>
      <c r="N34" s="88">
        <f t="shared" ca="1" si="10"/>
        <v>0</v>
      </c>
      <c r="O34" s="89">
        <f t="shared" si="11"/>
        <v>0</v>
      </c>
      <c r="P34" s="89">
        <f>IF(OR(E34&lt;食数計算!$F$51,F34&lt;食数計算!$F$52),0,1)</f>
        <v>1</v>
      </c>
      <c r="Q34" s="89">
        <f t="shared" si="12"/>
        <v>0</v>
      </c>
      <c r="R34" s="90">
        <f t="shared" si="13"/>
        <v>0</v>
      </c>
    </row>
    <row r="35" spans="2:18" x14ac:dyDescent="0.15">
      <c r="B35" s="203"/>
      <c r="C35" s="204" t="s">
        <v>424</v>
      </c>
      <c r="D35" s="186">
        <v>221</v>
      </c>
      <c r="E35" s="187">
        <v>300</v>
      </c>
      <c r="F35" s="188">
        <f t="shared" si="7"/>
        <v>99.6</v>
      </c>
      <c r="G35" s="189">
        <v>1</v>
      </c>
      <c r="H35" s="189">
        <v>1</v>
      </c>
      <c r="I35" s="190">
        <v>1</v>
      </c>
      <c r="J35" s="189">
        <v>2</v>
      </c>
      <c r="K35" s="87">
        <f t="shared" si="8"/>
        <v>0</v>
      </c>
      <c r="L35" s="87">
        <f ca="1">IF(OR(E35&lt;面積計算!$F$54,F35&lt;面積計算!$F$55),0,1)</f>
        <v>1</v>
      </c>
      <c r="M35" s="87">
        <f t="shared" ca="1" si="9"/>
        <v>0</v>
      </c>
      <c r="N35" s="88">
        <f t="shared" ca="1" si="10"/>
        <v>0</v>
      </c>
      <c r="O35" s="89">
        <f t="shared" si="11"/>
        <v>0</v>
      </c>
      <c r="P35" s="89">
        <f>IF(OR(E35&lt;食数計算!$F$51,F35&lt;食数計算!$F$52),0,1)</f>
        <v>1</v>
      </c>
      <c r="Q35" s="89">
        <f t="shared" si="12"/>
        <v>0</v>
      </c>
      <c r="R35" s="90">
        <f t="shared" si="13"/>
        <v>0</v>
      </c>
    </row>
    <row r="36" spans="2:18" x14ac:dyDescent="0.15">
      <c r="B36" s="234"/>
      <c r="C36" s="204" t="s">
        <v>425</v>
      </c>
      <c r="D36" s="186">
        <v>286</v>
      </c>
      <c r="E36" s="187">
        <v>400</v>
      </c>
      <c r="F36" s="188">
        <f t="shared" si="7"/>
        <v>132.80000000000001</v>
      </c>
      <c r="G36" s="189">
        <v>1</v>
      </c>
      <c r="H36" s="189">
        <v>1</v>
      </c>
      <c r="I36" s="190">
        <v>1</v>
      </c>
      <c r="J36" s="189">
        <v>2</v>
      </c>
      <c r="K36" s="87">
        <f t="shared" si="8"/>
        <v>0</v>
      </c>
      <c r="L36" s="87">
        <f ca="1">IF(OR(E36&lt;面積計算!$F$54,F36&lt;面積計算!$F$55),0,1)</f>
        <v>1</v>
      </c>
      <c r="M36" s="87">
        <f t="shared" ca="1" si="9"/>
        <v>0</v>
      </c>
      <c r="N36" s="88">
        <f t="shared" ca="1" si="10"/>
        <v>0</v>
      </c>
      <c r="O36" s="89">
        <f t="shared" si="11"/>
        <v>0</v>
      </c>
      <c r="P36" s="89">
        <f>IF(OR(E36&lt;食数計算!$F$51,F36&lt;食数計算!$F$52),0,1)</f>
        <v>1</v>
      </c>
      <c r="Q36" s="89">
        <f t="shared" si="12"/>
        <v>0</v>
      </c>
      <c r="R36" s="90">
        <f t="shared" si="13"/>
        <v>0</v>
      </c>
    </row>
    <row r="37" spans="2:18" x14ac:dyDescent="0.15">
      <c r="B37" s="203"/>
      <c r="C37" s="228" t="s">
        <v>426</v>
      </c>
      <c r="D37" s="229">
        <v>35</v>
      </c>
      <c r="E37" s="230">
        <v>50</v>
      </c>
      <c r="F37" s="231">
        <f t="shared" si="0"/>
        <v>16.600000000000001</v>
      </c>
      <c r="G37" s="232">
        <v>1</v>
      </c>
      <c r="H37" s="232">
        <v>1</v>
      </c>
      <c r="I37" s="233">
        <v>2</v>
      </c>
      <c r="J37" s="232">
        <v>2</v>
      </c>
      <c r="K37" s="222">
        <f t="shared" ref="K37:K44" si="14">IF(AND(H37=$H$4,I37=$I$4,J37=$J$4),1,0)</f>
        <v>0</v>
      </c>
      <c r="L37" s="222">
        <f ca="1">IF(OR(E37&lt;面積計算!$F$54,F37&lt;面積計算!$F$55),0,1)</f>
        <v>0</v>
      </c>
      <c r="M37" s="222">
        <f t="shared" ref="M37:M44" ca="1" si="15">K37*L37</f>
        <v>0</v>
      </c>
      <c r="N37" s="223">
        <f t="shared" ref="N37:N44" ca="1" si="16">M37/E37*10000</f>
        <v>0</v>
      </c>
      <c r="O37" s="224">
        <f t="shared" ref="O37:O44" si="17">IF(AND(H37=$H$3,I37=$I$3,J37=$J$3),1,0)</f>
        <v>0</v>
      </c>
      <c r="P37" s="224">
        <f>IF(OR(E37&lt;食数計算!$F$51,F37&lt;食数計算!$F$52),0,1)</f>
        <v>1</v>
      </c>
      <c r="Q37" s="224">
        <f t="shared" ref="Q37:Q44" si="18">O37*P37</f>
        <v>0</v>
      </c>
      <c r="R37" s="225">
        <f t="shared" ref="R37:R44" si="19">Q37/E37*10000</f>
        <v>0</v>
      </c>
    </row>
    <row r="38" spans="2:18" x14ac:dyDescent="0.15">
      <c r="B38" s="203"/>
      <c r="C38" s="204" t="s">
        <v>427</v>
      </c>
      <c r="D38" s="186">
        <v>67</v>
      </c>
      <c r="E38" s="187">
        <v>70</v>
      </c>
      <c r="F38" s="188">
        <f t="shared" si="0"/>
        <v>23.2</v>
      </c>
      <c r="G38" s="189">
        <v>1</v>
      </c>
      <c r="H38" s="189">
        <v>1</v>
      </c>
      <c r="I38" s="190">
        <v>2</v>
      </c>
      <c r="J38" s="189">
        <v>2</v>
      </c>
      <c r="K38" s="87">
        <f t="shared" si="14"/>
        <v>0</v>
      </c>
      <c r="L38" s="87">
        <f ca="1">IF(OR(E38&lt;面積計算!$F$54,F38&lt;面積計算!$F$55),0,1)</f>
        <v>0</v>
      </c>
      <c r="M38" s="87">
        <f t="shared" ca="1" si="15"/>
        <v>0</v>
      </c>
      <c r="N38" s="88">
        <f t="shared" ca="1" si="16"/>
        <v>0</v>
      </c>
      <c r="O38" s="89">
        <f t="shared" si="17"/>
        <v>0</v>
      </c>
      <c r="P38" s="89">
        <f>IF(OR(E38&lt;食数計算!$F$51,F38&lt;食数計算!$F$52),0,1)</f>
        <v>1</v>
      </c>
      <c r="Q38" s="89">
        <f t="shared" si="18"/>
        <v>0</v>
      </c>
      <c r="R38" s="90">
        <f t="shared" si="19"/>
        <v>0</v>
      </c>
    </row>
    <row r="39" spans="2:18" x14ac:dyDescent="0.15">
      <c r="B39" s="203"/>
      <c r="C39" s="204" t="s">
        <v>428</v>
      </c>
      <c r="D39" s="186">
        <v>84</v>
      </c>
      <c r="E39" s="187">
        <v>120</v>
      </c>
      <c r="F39" s="188">
        <f t="shared" si="0"/>
        <v>39.799999999999997</v>
      </c>
      <c r="G39" s="189">
        <v>1</v>
      </c>
      <c r="H39" s="189">
        <v>1</v>
      </c>
      <c r="I39" s="190">
        <v>2</v>
      </c>
      <c r="J39" s="189">
        <v>2</v>
      </c>
      <c r="K39" s="87">
        <f t="shared" si="14"/>
        <v>0</v>
      </c>
      <c r="L39" s="87">
        <f ca="1">IF(OR(E39&lt;面積計算!$F$54,F39&lt;面積計算!$F$55),0,1)</f>
        <v>1</v>
      </c>
      <c r="M39" s="87">
        <f t="shared" ca="1" si="15"/>
        <v>0</v>
      </c>
      <c r="N39" s="88">
        <f t="shared" ca="1" si="16"/>
        <v>0</v>
      </c>
      <c r="O39" s="89">
        <f t="shared" si="17"/>
        <v>0</v>
      </c>
      <c r="P39" s="89">
        <f>IF(OR(E39&lt;食数計算!$F$51,F39&lt;食数計算!$F$52),0,1)</f>
        <v>1</v>
      </c>
      <c r="Q39" s="89">
        <f t="shared" si="18"/>
        <v>0</v>
      </c>
      <c r="R39" s="90">
        <f t="shared" si="19"/>
        <v>0</v>
      </c>
    </row>
    <row r="40" spans="2:18" x14ac:dyDescent="0.15">
      <c r="B40" s="203"/>
      <c r="C40" s="204" t="s">
        <v>429</v>
      </c>
      <c r="D40" s="186">
        <v>106</v>
      </c>
      <c r="E40" s="187">
        <v>150</v>
      </c>
      <c r="F40" s="188">
        <f t="shared" si="0"/>
        <v>49.8</v>
      </c>
      <c r="G40" s="189">
        <v>1</v>
      </c>
      <c r="H40" s="189">
        <v>1</v>
      </c>
      <c r="I40" s="190">
        <v>2</v>
      </c>
      <c r="J40" s="189">
        <v>2</v>
      </c>
      <c r="K40" s="87">
        <f t="shared" si="14"/>
        <v>0</v>
      </c>
      <c r="L40" s="87">
        <f ca="1">IF(OR(E40&lt;面積計算!$F$54,F40&lt;面積計算!$F$55),0,1)</f>
        <v>1</v>
      </c>
      <c r="M40" s="87">
        <f t="shared" ca="1" si="15"/>
        <v>0</v>
      </c>
      <c r="N40" s="88">
        <f t="shared" ca="1" si="16"/>
        <v>0</v>
      </c>
      <c r="O40" s="89">
        <f t="shared" si="17"/>
        <v>0</v>
      </c>
      <c r="P40" s="89">
        <f>IF(OR(E40&lt;食数計算!$F$51,F40&lt;食数計算!$F$52),0,1)</f>
        <v>1</v>
      </c>
      <c r="Q40" s="89">
        <f t="shared" si="18"/>
        <v>0</v>
      </c>
      <c r="R40" s="90">
        <f t="shared" si="19"/>
        <v>0</v>
      </c>
    </row>
    <row r="41" spans="2:18" x14ac:dyDescent="0.15">
      <c r="B41" s="203"/>
      <c r="C41" s="204" t="s">
        <v>430</v>
      </c>
      <c r="D41" s="186">
        <v>134</v>
      </c>
      <c r="E41" s="187">
        <v>200</v>
      </c>
      <c r="F41" s="188">
        <f t="shared" si="0"/>
        <v>66.400000000000006</v>
      </c>
      <c r="G41" s="189">
        <v>1</v>
      </c>
      <c r="H41" s="189">
        <v>1</v>
      </c>
      <c r="I41" s="190">
        <v>2</v>
      </c>
      <c r="J41" s="189">
        <v>2</v>
      </c>
      <c r="K41" s="87">
        <f t="shared" si="14"/>
        <v>0</v>
      </c>
      <c r="L41" s="87">
        <f ca="1">IF(OR(E41&lt;面積計算!$F$54,F41&lt;面積計算!$F$55),0,1)</f>
        <v>1</v>
      </c>
      <c r="M41" s="87">
        <f t="shared" ca="1" si="15"/>
        <v>0</v>
      </c>
      <c r="N41" s="88">
        <f t="shared" ca="1" si="16"/>
        <v>0</v>
      </c>
      <c r="O41" s="89">
        <f t="shared" si="17"/>
        <v>0</v>
      </c>
      <c r="P41" s="89">
        <f>IF(OR(E41&lt;食数計算!$F$51,F41&lt;食数計算!$F$52),0,1)</f>
        <v>1</v>
      </c>
      <c r="Q41" s="89">
        <f t="shared" si="18"/>
        <v>0</v>
      </c>
      <c r="R41" s="90">
        <f t="shared" si="19"/>
        <v>0</v>
      </c>
    </row>
    <row r="42" spans="2:18" x14ac:dyDescent="0.15">
      <c r="B42" s="203"/>
      <c r="C42" s="204" t="s">
        <v>431</v>
      </c>
      <c r="D42" s="186">
        <v>189</v>
      </c>
      <c r="E42" s="187">
        <v>250</v>
      </c>
      <c r="F42" s="188">
        <f t="shared" si="0"/>
        <v>83</v>
      </c>
      <c r="G42" s="189">
        <v>1</v>
      </c>
      <c r="H42" s="189">
        <v>1</v>
      </c>
      <c r="I42" s="190">
        <v>2</v>
      </c>
      <c r="J42" s="189">
        <v>2</v>
      </c>
      <c r="K42" s="87">
        <f t="shared" si="14"/>
        <v>0</v>
      </c>
      <c r="L42" s="87">
        <f ca="1">IF(OR(E42&lt;面積計算!$F$54,F42&lt;面積計算!$F$55),0,1)</f>
        <v>1</v>
      </c>
      <c r="M42" s="87">
        <f t="shared" ca="1" si="15"/>
        <v>0</v>
      </c>
      <c r="N42" s="88">
        <f t="shared" ca="1" si="16"/>
        <v>0</v>
      </c>
      <c r="O42" s="89">
        <f t="shared" si="17"/>
        <v>0</v>
      </c>
      <c r="P42" s="89">
        <f>IF(OR(E42&lt;食数計算!$F$51,F42&lt;食数計算!$F$52),0,1)</f>
        <v>1</v>
      </c>
      <c r="Q42" s="89">
        <f t="shared" si="18"/>
        <v>0</v>
      </c>
      <c r="R42" s="90">
        <f t="shared" si="19"/>
        <v>0</v>
      </c>
    </row>
    <row r="43" spans="2:18" x14ac:dyDescent="0.15">
      <c r="B43" s="203"/>
      <c r="C43" s="204" t="s">
        <v>432</v>
      </c>
      <c r="D43" s="186">
        <v>221</v>
      </c>
      <c r="E43" s="187">
        <v>300</v>
      </c>
      <c r="F43" s="188">
        <f t="shared" si="0"/>
        <v>99.6</v>
      </c>
      <c r="G43" s="189">
        <v>1</v>
      </c>
      <c r="H43" s="189">
        <v>1</v>
      </c>
      <c r="I43" s="190">
        <v>2</v>
      </c>
      <c r="J43" s="189">
        <v>2</v>
      </c>
      <c r="K43" s="87">
        <f t="shared" si="14"/>
        <v>0</v>
      </c>
      <c r="L43" s="87">
        <f ca="1">IF(OR(E43&lt;面積計算!$F$54,F43&lt;面積計算!$F$55),0,1)</f>
        <v>1</v>
      </c>
      <c r="M43" s="87">
        <f t="shared" ca="1" si="15"/>
        <v>0</v>
      </c>
      <c r="N43" s="88">
        <f t="shared" ca="1" si="16"/>
        <v>0</v>
      </c>
      <c r="O43" s="89">
        <f t="shared" si="17"/>
        <v>0</v>
      </c>
      <c r="P43" s="89">
        <f>IF(OR(E43&lt;食数計算!$F$51,F43&lt;食数計算!$F$52),0,1)</f>
        <v>1</v>
      </c>
      <c r="Q43" s="89">
        <f t="shared" si="18"/>
        <v>0</v>
      </c>
      <c r="R43" s="90">
        <f t="shared" si="19"/>
        <v>0</v>
      </c>
    </row>
    <row r="44" spans="2:18" x14ac:dyDescent="0.15">
      <c r="B44" s="234"/>
      <c r="C44" s="204" t="s">
        <v>433</v>
      </c>
      <c r="D44" s="186">
        <v>286</v>
      </c>
      <c r="E44" s="187">
        <v>400</v>
      </c>
      <c r="F44" s="188">
        <f t="shared" si="0"/>
        <v>132.80000000000001</v>
      </c>
      <c r="G44" s="189">
        <v>1</v>
      </c>
      <c r="H44" s="189">
        <v>1</v>
      </c>
      <c r="I44" s="190">
        <v>2</v>
      </c>
      <c r="J44" s="189">
        <v>2</v>
      </c>
      <c r="K44" s="87">
        <f t="shared" si="14"/>
        <v>0</v>
      </c>
      <c r="L44" s="87">
        <f ca="1">IF(OR(E44&lt;面積計算!$F$54,F44&lt;面積計算!$F$55),0,1)</f>
        <v>1</v>
      </c>
      <c r="M44" s="87">
        <f t="shared" ca="1" si="15"/>
        <v>0</v>
      </c>
      <c r="N44" s="88">
        <f t="shared" ca="1" si="16"/>
        <v>0</v>
      </c>
      <c r="O44" s="89">
        <f t="shared" si="17"/>
        <v>0</v>
      </c>
      <c r="P44" s="89">
        <f>IF(OR(E44&lt;食数計算!$F$51,F44&lt;食数計算!$F$52),0,1)</f>
        <v>1</v>
      </c>
      <c r="Q44" s="89">
        <f t="shared" si="18"/>
        <v>0</v>
      </c>
      <c r="R44" s="90">
        <f t="shared" si="19"/>
        <v>0</v>
      </c>
    </row>
    <row r="45" spans="2:18" x14ac:dyDescent="0.15">
      <c r="B45" s="203"/>
      <c r="C45" s="228" t="s">
        <v>434</v>
      </c>
      <c r="D45" s="229">
        <v>35</v>
      </c>
      <c r="E45" s="230">
        <v>50</v>
      </c>
      <c r="F45" s="231">
        <f t="shared" ref="F45:F52" si="20">ROUNDDOWN(E45*0.332,1)</f>
        <v>16.600000000000001</v>
      </c>
      <c r="G45" s="232">
        <v>1</v>
      </c>
      <c r="H45" s="232">
        <v>1</v>
      </c>
      <c r="I45" s="233">
        <v>2</v>
      </c>
      <c r="J45" s="232">
        <v>5</v>
      </c>
      <c r="K45" s="222">
        <f t="shared" si="8"/>
        <v>0</v>
      </c>
      <c r="L45" s="222">
        <f ca="1">IF(OR(E45&lt;面積計算!$F$54,F45&lt;面積計算!$F$55),0,1)</f>
        <v>0</v>
      </c>
      <c r="M45" s="222">
        <f t="shared" ca="1" si="9"/>
        <v>0</v>
      </c>
      <c r="N45" s="223">
        <f t="shared" ca="1" si="10"/>
        <v>0</v>
      </c>
      <c r="O45" s="224">
        <f t="shared" si="11"/>
        <v>0</v>
      </c>
      <c r="P45" s="224">
        <f>IF(OR(E45&lt;食数計算!$F$51,F45&lt;食数計算!$F$52),0,1)</f>
        <v>1</v>
      </c>
      <c r="Q45" s="224">
        <f t="shared" si="12"/>
        <v>0</v>
      </c>
      <c r="R45" s="225">
        <f t="shared" si="13"/>
        <v>0</v>
      </c>
    </row>
    <row r="46" spans="2:18" x14ac:dyDescent="0.15">
      <c r="B46" s="203"/>
      <c r="C46" s="204" t="s">
        <v>435</v>
      </c>
      <c r="D46" s="186">
        <v>67</v>
      </c>
      <c r="E46" s="187">
        <v>70</v>
      </c>
      <c r="F46" s="188">
        <f t="shared" si="20"/>
        <v>23.2</v>
      </c>
      <c r="G46" s="189">
        <v>1</v>
      </c>
      <c r="H46" s="189">
        <v>1</v>
      </c>
      <c r="I46" s="190">
        <v>2</v>
      </c>
      <c r="J46" s="189">
        <v>5</v>
      </c>
      <c r="K46" s="87">
        <f t="shared" si="8"/>
        <v>0</v>
      </c>
      <c r="L46" s="87">
        <f ca="1">IF(OR(E46&lt;面積計算!$F$54,F46&lt;面積計算!$F$55),0,1)</f>
        <v>0</v>
      </c>
      <c r="M46" s="87">
        <f t="shared" ca="1" si="9"/>
        <v>0</v>
      </c>
      <c r="N46" s="88">
        <f t="shared" ca="1" si="10"/>
        <v>0</v>
      </c>
      <c r="O46" s="89">
        <f t="shared" si="11"/>
        <v>0</v>
      </c>
      <c r="P46" s="89">
        <f>IF(OR(E46&lt;食数計算!$F$51,F46&lt;食数計算!$F$52),0,1)</f>
        <v>1</v>
      </c>
      <c r="Q46" s="89">
        <f t="shared" si="12"/>
        <v>0</v>
      </c>
      <c r="R46" s="90">
        <f t="shared" si="13"/>
        <v>0</v>
      </c>
    </row>
    <row r="47" spans="2:18" x14ac:dyDescent="0.15">
      <c r="B47" s="203"/>
      <c r="C47" s="204" t="s">
        <v>436</v>
      </c>
      <c r="D47" s="186">
        <v>84</v>
      </c>
      <c r="E47" s="187">
        <v>120</v>
      </c>
      <c r="F47" s="188">
        <f t="shared" si="20"/>
        <v>39.799999999999997</v>
      </c>
      <c r="G47" s="189">
        <v>1</v>
      </c>
      <c r="H47" s="189">
        <v>1</v>
      </c>
      <c r="I47" s="190">
        <v>2</v>
      </c>
      <c r="J47" s="189">
        <v>5</v>
      </c>
      <c r="K47" s="87">
        <f t="shared" si="8"/>
        <v>0</v>
      </c>
      <c r="L47" s="87">
        <f ca="1">IF(OR(E47&lt;面積計算!$F$54,F47&lt;面積計算!$F$55),0,1)</f>
        <v>1</v>
      </c>
      <c r="M47" s="87">
        <f t="shared" ca="1" si="9"/>
        <v>0</v>
      </c>
      <c r="N47" s="88">
        <f t="shared" ca="1" si="10"/>
        <v>0</v>
      </c>
      <c r="O47" s="89">
        <f t="shared" si="11"/>
        <v>0</v>
      </c>
      <c r="P47" s="89">
        <f>IF(OR(E47&lt;食数計算!$F$51,F47&lt;食数計算!$F$52),0,1)</f>
        <v>1</v>
      </c>
      <c r="Q47" s="89">
        <f t="shared" si="12"/>
        <v>0</v>
      </c>
      <c r="R47" s="90">
        <f t="shared" si="13"/>
        <v>0</v>
      </c>
    </row>
    <row r="48" spans="2:18" x14ac:dyDescent="0.15">
      <c r="B48" s="203"/>
      <c r="C48" s="204" t="s">
        <v>437</v>
      </c>
      <c r="D48" s="186">
        <v>106</v>
      </c>
      <c r="E48" s="187">
        <v>150</v>
      </c>
      <c r="F48" s="188">
        <f t="shared" si="20"/>
        <v>49.8</v>
      </c>
      <c r="G48" s="189">
        <v>1</v>
      </c>
      <c r="H48" s="189">
        <v>1</v>
      </c>
      <c r="I48" s="190">
        <v>2</v>
      </c>
      <c r="J48" s="189">
        <v>5</v>
      </c>
      <c r="K48" s="87">
        <f t="shared" si="8"/>
        <v>0</v>
      </c>
      <c r="L48" s="87">
        <f ca="1">IF(OR(E48&lt;面積計算!$F$54,F48&lt;面積計算!$F$55),0,1)</f>
        <v>1</v>
      </c>
      <c r="M48" s="87">
        <f t="shared" ca="1" si="9"/>
        <v>0</v>
      </c>
      <c r="N48" s="88">
        <f t="shared" ca="1" si="10"/>
        <v>0</v>
      </c>
      <c r="O48" s="89">
        <f t="shared" si="11"/>
        <v>0</v>
      </c>
      <c r="P48" s="89">
        <f>IF(OR(E48&lt;食数計算!$F$51,F48&lt;食数計算!$F$52),0,1)</f>
        <v>1</v>
      </c>
      <c r="Q48" s="89">
        <f t="shared" si="12"/>
        <v>0</v>
      </c>
      <c r="R48" s="90">
        <f t="shared" si="13"/>
        <v>0</v>
      </c>
    </row>
    <row r="49" spans="2:18" x14ac:dyDescent="0.15">
      <c r="B49" s="203"/>
      <c r="C49" s="204" t="s">
        <v>438</v>
      </c>
      <c r="D49" s="186">
        <v>134</v>
      </c>
      <c r="E49" s="187">
        <v>200</v>
      </c>
      <c r="F49" s="188">
        <f t="shared" si="20"/>
        <v>66.400000000000006</v>
      </c>
      <c r="G49" s="189">
        <v>1</v>
      </c>
      <c r="H49" s="189">
        <v>1</v>
      </c>
      <c r="I49" s="190">
        <v>2</v>
      </c>
      <c r="J49" s="189">
        <v>5</v>
      </c>
      <c r="K49" s="87">
        <f t="shared" si="8"/>
        <v>0</v>
      </c>
      <c r="L49" s="87">
        <f ca="1">IF(OR(E49&lt;面積計算!$F$54,F49&lt;面積計算!$F$55),0,1)</f>
        <v>1</v>
      </c>
      <c r="M49" s="87">
        <f t="shared" ca="1" si="9"/>
        <v>0</v>
      </c>
      <c r="N49" s="88">
        <f t="shared" ca="1" si="10"/>
        <v>0</v>
      </c>
      <c r="O49" s="89">
        <f t="shared" si="11"/>
        <v>0</v>
      </c>
      <c r="P49" s="89">
        <f>IF(OR(E49&lt;食数計算!$F$51,F49&lt;食数計算!$F$52),0,1)</f>
        <v>1</v>
      </c>
      <c r="Q49" s="89">
        <f t="shared" si="12"/>
        <v>0</v>
      </c>
      <c r="R49" s="90">
        <f t="shared" si="13"/>
        <v>0</v>
      </c>
    </row>
    <row r="50" spans="2:18" x14ac:dyDescent="0.15">
      <c r="B50" s="203"/>
      <c r="C50" s="204" t="s">
        <v>439</v>
      </c>
      <c r="D50" s="186">
        <v>189</v>
      </c>
      <c r="E50" s="187">
        <v>250</v>
      </c>
      <c r="F50" s="188">
        <f t="shared" si="20"/>
        <v>83</v>
      </c>
      <c r="G50" s="189">
        <v>1</v>
      </c>
      <c r="H50" s="189">
        <v>1</v>
      </c>
      <c r="I50" s="190">
        <v>2</v>
      </c>
      <c r="J50" s="189">
        <v>5</v>
      </c>
      <c r="K50" s="87">
        <f t="shared" si="8"/>
        <v>0</v>
      </c>
      <c r="L50" s="87">
        <f ca="1">IF(OR(E50&lt;面積計算!$F$54,F50&lt;面積計算!$F$55),0,1)</f>
        <v>1</v>
      </c>
      <c r="M50" s="87">
        <f t="shared" ca="1" si="9"/>
        <v>0</v>
      </c>
      <c r="N50" s="88">
        <f t="shared" ca="1" si="10"/>
        <v>0</v>
      </c>
      <c r="O50" s="89">
        <f t="shared" si="11"/>
        <v>0</v>
      </c>
      <c r="P50" s="89">
        <f>IF(OR(E50&lt;食数計算!$F$51,F50&lt;食数計算!$F$52),0,1)</f>
        <v>1</v>
      </c>
      <c r="Q50" s="89">
        <f t="shared" si="12"/>
        <v>0</v>
      </c>
      <c r="R50" s="90">
        <f t="shared" si="13"/>
        <v>0</v>
      </c>
    </row>
    <row r="51" spans="2:18" x14ac:dyDescent="0.15">
      <c r="B51" s="203"/>
      <c r="C51" s="204" t="s">
        <v>440</v>
      </c>
      <c r="D51" s="186">
        <v>221</v>
      </c>
      <c r="E51" s="187">
        <v>300</v>
      </c>
      <c r="F51" s="188">
        <f t="shared" si="20"/>
        <v>99.6</v>
      </c>
      <c r="G51" s="189">
        <v>1</v>
      </c>
      <c r="H51" s="189">
        <v>1</v>
      </c>
      <c r="I51" s="190">
        <v>2</v>
      </c>
      <c r="J51" s="189">
        <v>5</v>
      </c>
      <c r="K51" s="87">
        <f t="shared" si="8"/>
        <v>0</v>
      </c>
      <c r="L51" s="87">
        <f ca="1">IF(OR(E51&lt;面積計算!$F$54,F51&lt;面積計算!$F$55),0,1)</f>
        <v>1</v>
      </c>
      <c r="M51" s="87">
        <f t="shared" ca="1" si="9"/>
        <v>0</v>
      </c>
      <c r="N51" s="88">
        <f t="shared" ca="1" si="10"/>
        <v>0</v>
      </c>
      <c r="O51" s="89">
        <f t="shared" si="11"/>
        <v>0</v>
      </c>
      <c r="P51" s="89">
        <f>IF(OR(E51&lt;食数計算!$F$51,F51&lt;食数計算!$F$52),0,1)</f>
        <v>1</v>
      </c>
      <c r="Q51" s="89">
        <f t="shared" si="12"/>
        <v>0</v>
      </c>
      <c r="R51" s="90">
        <f t="shared" si="13"/>
        <v>0</v>
      </c>
    </row>
    <row r="52" spans="2:18" x14ac:dyDescent="0.15">
      <c r="B52" s="234"/>
      <c r="C52" s="204" t="s">
        <v>441</v>
      </c>
      <c r="D52" s="186">
        <v>286</v>
      </c>
      <c r="E52" s="187">
        <v>400</v>
      </c>
      <c r="F52" s="188">
        <f t="shared" si="20"/>
        <v>132.80000000000001</v>
      </c>
      <c r="G52" s="189">
        <v>1</v>
      </c>
      <c r="H52" s="189">
        <v>1</v>
      </c>
      <c r="I52" s="190">
        <v>2</v>
      </c>
      <c r="J52" s="189">
        <v>5</v>
      </c>
      <c r="K52" s="87">
        <f t="shared" si="8"/>
        <v>0</v>
      </c>
      <c r="L52" s="87">
        <f ca="1">IF(OR(E52&lt;面積計算!$F$54,F52&lt;面積計算!$F$55),0,1)</f>
        <v>1</v>
      </c>
      <c r="M52" s="87">
        <f t="shared" ca="1" si="9"/>
        <v>0</v>
      </c>
      <c r="N52" s="88">
        <f t="shared" ca="1" si="10"/>
        <v>0</v>
      </c>
      <c r="O52" s="89">
        <f t="shared" si="11"/>
        <v>0</v>
      </c>
      <c r="P52" s="89">
        <f>IF(OR(E52&lt;食数計算!$F$51,F52&lt;食数計算!$F$52),0,1)</f>
        <v>1</v>
      </c>
      <c r="Q52" s="89">
        <f t="shared" si="12"/>
        <v>0</v>
      </c>
      <c r="R52" s="90">
        <f t="shared" si="13"/>
        <v>0</v>
      </c>
    </row>
    <row r="53" spans="2:18" x14ac:dyDescent="0.15">
      <c r="B53" s="205"/>
      <c r="C53" s="235" t="s">
        <v>442</v>
      </c>
      <c r="D53" s="236">
        <v>35</v>
      </c>
      <c r="E53" s="237">
        <v>50</v>
      </c>
      <c r="F53" s="238">
        <f t="shared" ref="F53:F60" si="21">ROUNDDOWN(E53*0.332,1)</f>
        <v>16.600000000000001</v>
      </c>
      <c r="G53" s="239">
        <v>1</v>
      </c>
      <c r="H53" s="239">
        <v>3</v>
      </c>
      <c r="I53" s="240">
        <v>1</v>
      </c>
      <c r="J53" s="239">
        <v>5</v>
      </c>
      <c r="K53" s="222">
        <f t="shared" si="8"/>
        <v>0</v>
      </c>
      <c r="L53" s="222">
        <f ca="1">IF(OR(E53&lt;面積計算!$F$54,F53&lt;面積計算!$F$55),0,1)</f>
        <v>0</v>
      </c>
      <c r="M53" s="222">
        <f t="shared" ca="1" si="9"/>
        <v>0</v>
      </c>
      <c r="N53" s="223">
        <f t="shared" ca="1" si="10"/>
        <v>0</v>
      </c>
      <c r="O53" s="224">
        <f t="shared" si="11"/>
        <v>0</v>
      </c>
      <c r="P53" s="224">
        <f>IF(OR(E53&lt;食数計算!$F$51,F53&lt;食数計算!$F$52),0,1)</f>
        <v>1</v>
      </c>
      <c r="Q53" s="224">
        <f t="shared" si="12"/>
        <v>0</v>
      </c>
      <c r="R53" s="225">
        <f t="shared" si="13"/>
        <v>0</v>
      </c>
    </row>
    <row r="54" spans="2:18" x14ac:dyDescent="0.15">
      <c r="B54" s="205"/>
      <c r="C54" s="206" t="s">
        <v>443</v>
      </c>
      <c r="D54" s="207">
        <v>67</v>
      </c>
      <c r="E54" s="208">
        <v>70</v>
      </c>
      <c r="F54" s="209">
        <f t="shared" si="21"/>
        <v>23.2</v>
      </c>
      <c r="G54" s="191">
        <v>1</v>
      </c>
      <c r="H54" s="191">
        <v>3</v>
      </c>
      <c r="I54" s="192">
        <v>1</v>
      </c>
      <c r="J54" s="191">
        <v>5</v>
      </c>
      <c r="K54" s="87">
        <f t="shared" si="8"/>
        <v>0</v>
      </c>
      <c r="L54" s="87">
        <f ca="1">IF(OR(E54&lt;面積計算!$F$54,F54&lt;面積計算!$F$55),0,1)</f>
        <v>0</v>
      </c>
      <c r="M54" s="87">
        <f t="shared" ca="1" si="9"/>
        <v>0</v>
      </c>
      <c r="N54" s="88">
        <f t="shared" ca="1" si="10"/>
        <v>0</v>
      </c>
      <c r="O54" s="89">
        <f t="shared" si="11"/>
        <v>0</v>
      </c>
      <c r="P54" s="89">
        <f>IF(OR(E54&lt;食数計算!$F$51,F54&lt;食数計算!$F$52),0,1)</f>
        <v>1</v>
      </c>
      <c r="Q54" s="89">
        <f t="shared" si="12"/>
        <v>0</v>
      </c>
      <c r="R54" s="90">
        <f t="shared" si="13"/>
        <v>0</v>
      </c>
    </row>
    <row r="55" spans="2:18" x14ac:dyDescent="0.15">
      <c r="B55" s="205"/>
      <c r="C55" s="206" t="s">
        <v>444</v>
      </c>
      <c r="D55" s="207">
        <v>84</v>
      </c>
      <c r="E55" s="208">
        <v>120</v>
      </c>
      <c r="F55" s="209">
        <f t="shared" si="21"/>
        <v>39.799999999999997</v>
      </c>
      <c r="G55" s="191">
        <v>1</v>
      </c>
      <c r="H55" s="191">
        <v>3</v>
      </c>
      <c r="I55" s="192">
        <v>1</v>
      </c>
      <c r="J55" s="191">
        <v>5</v>
      </c>
      <c r="K55" s="87">
        <f t="shared" si="8"/>
        <v>0</v>
      </c>
      <c r="L55" s="87">
        <f ca="1">IF(OR(E55&lt;面積計算!$F$54,F55&lt;面積計算!$F$55),0,1)</f>
        <v>1</v>
      </c>
      <c r="M55" s="87">
        <f t="shared" ca="1" si="9"/>
        <v>0</v>
      </c>
      <c r="N55" s="88">
        <f t="shared" ca="1" si="10"/>
        <v>0</v>
      </c>
      <c r="O55" s="89">
        <f t="shared" si="11"/>
        <v>0</v>
      </c>
      <c r="P55" s="89">
        <f>IF(OR(E55&lt;食数計算!$F$51,F55&lt;食数計算!$F$52),0,1)</f>
        <v>1</v>
      </c>
      <c r="Q55" s="89">
        <f t="shared" si="12"/>
        <v>0</v>
      </c>
      <c r="R55" s="90">
        <f t="shared" si="13"/>
        <v>0</v>
      </c>
    </row>
    <row r="56" spans="2:18" x14ac:dyDescent="0.15">
      <c r="B56" s="205"/>
      <c r="C56" s="206" t="s">
        <v>445</v>
      </c>
      <c r="D56" s="207">
        <v>106</v>
      </c>
      <c r="E56" s="208">
        <v>150</v>
      </c>
      <c r="F56" s="209">
        <f t="shared" si="21"/>
        <v>49.8</v>
      </c>
      <c r="G56" s="191">
        <v>1</v>
      </c>
      <c r="H56" s="191">
        <v>3</v>
      </c>
      <c r="I56" s="192">
        <v>1</v>
      </c>
      <c r="J56" s="191">
        <v>5</v>
      </c>
      <c r="K56" s="87">
        <f t="shared" si="8"/>
        <v>0</v>
      </c>
      <c r="L56" s="87">
        <f ca="1">IF(OR(E56&lt;面積計算!$F$54,F56&lt;面積計算!$F$55),0,1)</f>
        <v>1</v>
      </c>
      <c r="M56" s="87">
        <f t="shared" ca="1" si="9"/>
        <v>0</v>
      </c>
      <c r="N56" s="88">
        <f t="shared" ca="1" si="10"/>
        <v>0</v>
      </c>
      <c r="O56" s="89">
        <f t="shared" si="11"/>
        <v>0</v>
      </c>
      <c r="P56" s="89">
        <f>IF(OR(E56&lt;食数計算!$F$51,F56&lt;食数計算!$F$52),0,1)</f>
        <v>1</v>
      </c>
      <c r="Q56" s="89">
        <f t="shared" si="12"/>
        <v>0</v>
      </c>
      <c r="R56" s="90">
        <f t="shared" si="13"/>
        <v>0</v>
      </c>
    </row>
    <row r="57" spans="2:18" x14ac:dyDescent="0.15">
      <c r="B57" s="205"/>
      <c r="C57" s="206" t="s">
        <v>446</v>
      </c>
      <c r="D57" s="207">
        <v>134</v>
      </c>
      <c r="E57" s="208">
        <v>200</v>
      </c>
      <c r="F57" s="209">
        <f t="shared" si="21"/>
        <v>66.400000000000006</v>
      </c>
      <c r="G57" s="191">
        <v>1</v>
      </c>
      <c r="H57" s="191">
        <v>3</v>
      </c>
      <c r="I57" s="192">
        <v>1</v>
      </c>
      <c r="J57" s="191">
        <v>5</v>
      </c>
      <c r="K57" s="87">
        <f t="shared" si="8"/>
        <v>0</v>
      </c>
      <c r="L57" s="87">
        <f ca="1">IF(OR(E57&lt;面積計算!$F$54,F57&lt;面積計算!$F$55),0,1)</f>
        <v>1</v>
      </c>
      <c r="M57" s="87">
        <f t="shared" ca="1" si="9"/>
        <v>0</v>
      </c>
      <c r="N57" s="88">
        <f t="shared" ca="1" si="10"/>
        <v>0</v>
      </c>
      <c r="O57" s="89">
        <f t="shared" si="11"/>
        <v>0</v>
      </c>
      <c r="P57" s="89">
        <f>IF(OR(E57&lt;食数計算!$F$51,F57&lt;食数計算!$F$52),0,1)</f>
        <v>1</v>
      </c>
      <c r="Q57" s="89">
        <f t="shared" si="12"/>
        <v>0</v>
      </c>
      <c r="R57" s="90">
        <f t="shared" si="13"/>
        <v>0</v>
      </c>
    </row>
    <row r="58" spans="2:18" x14ac:dyDescent="0.15">
      <c r="B58" s="205"/>
      <c r="C58" s="206" t="s">
        <v>447</v>
      </c>
      <c r="D58" s="207">
        <v>189</v>
      </c>
      <c r="E58" s="208">
        <v>250</v>
      </c>
      <c r="F58" s="209">
        <f t="shared" si="21"/>
        <v>83</v>
      </c>
      <c r="G58" s="191">
        <v>1</v>
      </c>
      <c r="H58" s="191">
        <v>3</v>
      </c>
      <c r="I58" s="192">
        <v>1</v>
      </c>
      <c r="J58" s="191">
        <v>5</v>
      </c>
      <c r="K58" s="87">
        <f t="shared" si="8"/>
        <v>0</v>
      </c>
      <c r="L58" s="87">
        <f ca="1">IF(OR(E58&lt;面積計算!$F$54,F58&lt;面積計算!$F$55),0,1)</f>
        <v>1</v>
      </c>
      <c r="M58" s="87">
        <f t="shared" ca="1" si="9"/>
        <v>0</v>
      </c>
      <c r="N58" s="88">
        <f t="shared" ca="1" si="10"/>
        <v>0</v>
      </c>
      <c r="O58" s="89">
        <f t="shared" si="11"/>
        <v>0</v>
      </c>
      <c r="P58" s="89">
        <f>IF(OR(E58&lt;食数計算!$F$51,F58&lt;食数計算!$F$52),0,1)</f>
        <v>1</v>
      </c>
      <c r="Q58" s="89">
        <f t="shared" si="12"/>
        <v>0</v>
      </c>
      <c r="R58" s="90">
        <f t="shared" si="13"/>
        <v>0</v>
      </c>
    </row>
    <row r="59" spans="2:18" x14ac:dyDescent="0.15">
      <c r="B59" s="205"/>
      <c r="C59" s="206" t="s">
        <v>448</v>
      </c>
      <c r="D59" s="207">
        <v>221</v>
      </c>
      <c r="E59" s="208">
        <v>300</v>
      </c>
      <c r="F59" s="209">
        <f t="shared" si="21"/>
        <v>99.6</v>
      </c>
      <c r="G59" s="191">
        <v>1</v>
      </c>
      <c r="H59" s="191">
        <v>3</v>
      </c>
      <c r="I59" s="192">
        <v>1</v>
      </c>
      <c r="J59" s="191">
        <v>5</v>
      </c>
      <c r="K59" s="87">
        <f t="shared" si="8"/>
        <v>0</v>
      </c>
      <c r="L59" s="87">
        <f ca="1">IF(OR(E59&lt;面積計算!$F$54,F59&lt;面積計算!$F$55),0,1)</f>
        <v>1</v>
      </c>
      <c r="M59" s="87">
        <f t="shared" ca="1" si="9"/>
        <v>0</v>
      </c>
      <c r="N59" s="88">
        <f t="shared" ca="1" si="10"/>
        <v>0</v>
      </c>
      <c r="O59" s="89">
        <f t="shared" si="11"/>
        <v>0</v>
      </c>
      <c r="P59" s="89">
        <f>IF(OR(E59&lt;食数計算!$F$51,F59&lt;食数計算!$F$52),0,1)</f>
        <v>1</v>
      </c>
      <c r="Q59" s="89">
        <f t="shared" si="12"/>
        <v>0</v>
      </c>
      <c r="R59" s="90">
        <f t="shared" si="13"/>
        <v>0</v>
      </c>
    </row>
    <row r="60" spans="2:18" x14ac:dyDescent="0.15">
      <c r="B60" s="227"/>
      <c r="C60" s="206" t="s">
        <v>449</v>
      </c>
      <c r="D60" s="207">
        <v>286</v>
      </c>
      <c r="E60" s="208">
        <v>400</v>
      </c>
      <c r="F60" s="209">
        <f t="shared" si="21"/>
        <v>132.80000000000001</v>
      </c>
      <c r="G60" s="191">
        <v>1</v>
      </c>
      <c r="H60" s="191">
        <v>3</v>
      </c>
      <c r="I60" s="192">
        <v>1</v>
      </c>
      <c r="J60" s="191">
        <v>5</v>
      </c>
      <c r="K60" s="87">
        <f t="shared" si="8"/>
        <v>0</v>
      </c>
      <c r="L60" s="87">
        <f ca="1">IF(OR(E60&lt;面積計算!$F$54,F60&lt;面積計算!$F$55),0,1)</f>
        <v>1</v>
      </c>
      <c r="M60" s="87">
        <f t="shared" ca="1" si="9"/>
        <v>0</v>
      </c>
      <c r="N60" s="88">
        <f t="shared" ca="1" si="10"/>
        <v>0</v>
      </c>
      <c r="O60" s="89">
        <f t="shared" si="11"/>
        <v>0</v>
      </c>
      <c r="P60" s="89">
        <f>IF(OR(E60&lt;食数計算!$F$51,F60&lt;食数計算!$F$52),0,1)</f>
        <v>1</v>
      </c>
      <c r="Q60" s="89">
        <f t="shared" si="12"/>
        <v>0</v>
      </c>
      <c r="R60" s="90">
        <f t="shared" si="13"/>
        <v>0</v>
      </c>
    </row>
    <row r="61" spans="2:18" x14ac:dyDescent="0.15">
      <c r="B61" s="205"/>
      <c r="C61" s="235" t="s">
        <v>450</v>
      </c>
      <c r="D61" s="236">
        <v>35</v>
      </c>
      <c r="E61" s="237">
        <v>50</v>
      </c>
      <c r="F61" s="238">
        <f t="shared" ref="F61:F106" si="22">ROUNDDOWN(E61*0.332,1)</f>
        <v>16.600000000000001</v>
      </c>
      <c r="G61" s="239">
        <v>1</v>
      </c>
      <c r="H61" s="239">
        <v>3</v>
      </c>
      <c r="I61" s="240">
        <v>2</v>
      </c>
      <c r="J61" s="239">
        <v>5</v>
      </c>
      <c r="K61" s="222">
        <f t="shared" ref="K61:K106" si="23">IF(AND(H61=$H$4,I61=$I$4,J61=$J$4),1,0)</f>
        <v>0</v>
      </c>
      <c r="L61" s="222">
        <f ca="1">IF(OR(E61&lt;面積計算!$F$54,F61&lt;面積計算!$F$55),0,1)</f>
        <v>0</v>
      </c>
      <c r="M61" s="222">
        <f t="shared" ref="M61:M106" ca="1" si="24">K61*L61</f>
        <v>0</v>
      </c>
      <c r="N61" s="223">
        <f t="shared" ref="N61:N106" ca="1" si="25">M61/E61*10000</f>
        <v>0</v>
      </c>
      <c r="O61" s="224">
        <f t="shared" ref="O61:O106" si="26">IF(AND(H61=$H$3,I61=$I$3,J61=$J$3),1,0)</f>
        <v>0</v>
      </c>
      <c r="P61" s="224">
        <f>IF(OR(E61&lt;食数計算!$F$51,F61&lt;食数計算!$F$52),0,1)</f>
        <v>1</v>
      </c>
      <c r="Q61" s="224">
        <f t="shared" ref="Q61:Q106" si="27">O61*P61</f>
        <v>0</v>
      </c>
      <c r="R61" s="225">
        <f t="shared" ref="R61:R106" si="28">Q61/E61*10000</f>
        <v>0</v>
      </c>
    </row>
    <row r="62" spans="2:18" x14ac:dyDescent="0.15">
      <c r="B62" s="205"/>
      <c r="C62" s="206" t="s">
        <v>451</v>
      </c>
      <c r="D62" s="207">
        <v>67</v>
      </c>
      <c r="E62" s="208">
        <v>70</v>
      </c>
      <c r="F62" s="209">
        <f t="shared" si="22"/>
        <v>23.2</v>
      </c>
      <c r="G62" s="191">
        <v>1</v>
      </c>
      <c r="H62" s="191">
        <v>3</v>
      </c>
      <c r="I62" s="192">
        <v>2</v>
      </c>
      <c r="J62" s="191">
        <v>5</v>
      </c>
      <c r="K62" s="87">
        <f t="shared" si="23"/>
        <v>0</v>
      </c>
      <c r="L62" s="87">
        <f ca="1">IF(OR(E62&lt;面積計算!$F$54,F62&lt;面積計算!$F$55),0,1)</f>
        <v>0</v>
      </c>
      <c r="M62" s="87">
        <f t="shared" ca="1" si="24"/>
        <v>0</v>
      </c>
      <c r="N62" s="88">
        <f t="shared" ca="1" si="25"/>
        <v>0</v>
      </c>
      <c r="O62" s="89">
        <f t="shared" si="26"/>
        <v>0</v>
      </c>
      <c r="P62" s="89">
        <f>IF(OR(E62&lt;食数計算!$F$51,F62&lt;食数計算!$F$52),0,1)</f>
        <v>1</v>
      </c>
      <c r="Q62" s="89">
        <f t="shared" si="27"/>
        <v>0</v>
      </c>
      <c r="R62" s="90">
        <f t="shared" si="28"/>
        <v>0</v>
      </c>
    </row>
    <row r="63" spans="2:18" x14ac:dyDescent="0.15">
      <c r="B63" s="205"/>
      <c r="C63" s="206" t="s">
        <v>452</v>
      </c>
      <c r="D63" s="207">
        <v>84</v>
      </c>
      <c r="E63" s="208">
        <v>120</v>
      </c>
      <c r="F63" s="209">
        <f t="shared" si="22"/>
        <v>39.799999999999997</v>
      </c>
      <c r="G63" s="191">
        <v>1</v>
      </c>
      <c r="H63" s="191">
        <v>3</v>
      </c>
      <c r="I63" s="192">
        <v>2</v>
      </c>
      <c r="J63" s="191">
        <v>5</v>
      </c>
      <c r="K63" s="87">
        <f t="shared" si="23"/>
        <v>0</v>
      </c>
      <c r="L63" s="87">
        <f ca="1">IF(OR(E63&lt;面積計算!$F$54,F63&lt;面積計算!$F$55),0,1)</f>
        <v>1</v>
      </c>
      <c r="M63" s="87">
        <f t="shared" ca="1" si="24"/>
        <v>0</v>
      </c>
      <c r="N63" s="88">
        <f t="shared" ca="1" si="25"/>
        <v>0</v>
      </c>
      <c r="O63" s="89">
        <f t="shared" si="26"/>
        <v>0</v>
      </c>
      <c r="P63" s="89">
        <f>IF(OR(E63&lt;食数計算!$F$51,F63&lt;食数計算!$F$52),0,1)</f>
        <v>1</v>
      </c>
      <c r="Q63" s="89">
        <f t="shared" si="27"/>
        <v>0</v>
      </c>
      <c r="R63" s="90">
        <f t="shared" si="28"/>
        <v>0</v>
      </c>
    </row>
    <row r="64" spans="2:18" x14ac:dyDescent="0.15">
      <c r="B64" s="205"/>
      <c r="C64" s="206" t="s">
        <v>453</v>
      </c>
      <c r="D64" s="207">
        <v>106</v>
      </c>
      <c r="E64" s="208">
        <v>150</v>
      </c>
      <c r="F64" s="209">
        <f t="shared" si="22"/>
        <v>49.8</v>
      </c>
      <c r="G64" s="191">
        <v>1</v>
      </c>
      <c r="H64" s="191">
        <v>3</v>
      </c>
      <c r="I64" s="192">
        <v>2</v>
      </c>
      <c r="J64" s="191">
        <v>5</v>
      </c>
      <c r="K64" s="87">
        <f t="shared" si="23"/>
        <v>0</v>
      </c>
      <c r="L64" s="87">
        <f ca="1">IF(OR(E64&lt;面積計算!$F$54,F64&lt;面積計算!$F$55),0,1)</f>
        <v>1</v>
      </c>
      <c r="M64" s="87">
        <f t="shared" ca="1" si="24"/>
        <v>0</v>
      </c>
      <c r="N64" s="88">
        <f t="shared" ca="1" si="25"/>
        <v>0</v>
      </c>
      <c r="O64" s="89">
        <f t="shared" si="26"/>
        <v>0</v>
      </c>
      <c r="P64" s="89">
        <f>IF(OR(E64&lt;食数計算!$F$51,F64&lt;食数計算!$F$52),0,1)</f>
        <v>1</v>
      </c>
      <c r="Q64" s="89">
        <f t="shared" si="27"/>
        <v>0</v>
      </c>
      <c r="R64" s="90">
        <f t="shared" si="28"/>
        <v>0</v>
      </c>
    </row>
    <row r="65" spans="2:18" x14ac:dyDescent="0.15">
      <c r="B65" s="205"/>
      <c r="C65" s="206" t="s">
        <v>454</v>
      </c>
      <c r="D65" s="207">
        <v>134</v>
      </c>
      <c r="E65" s="208">
        <v>200</v>
      </c>
      <c r="F65" s="209">
        <f t="shared" si="22"/>
        <v>66.400000000000006</v>
      </c>
      <c r="G65" s="191">
        <v>1</v>
      </c>
      <c r="H65" s="191">
        <v>3</v>
      </c>
      <c r="I65" s="192">
        <v>2</v>
      </c>
      <c r="J65" s="191">
        <v>5</v>
      </c>
      <c r="K65" s="87">
        <f t="shared" si="23"/>
        <v>0</v>
      </c>
      <c r="L65" s="87">
        <f ca="1">IF(OR(E65&lt;面積計算!$F$54,F65&lt;面積計算!$F$55),0,1)</f>
        <v>1</v>
      </c>
      <c r="M65" s="87">
        <f t="shared" ca="1" si="24"/>
        <v>0</v>
      </c>
      <c r="N65" s="88">
        <f t="shared" ca="1" si="25"/>
        <v>0</v>
      </c>
      <c r="O65" s="89">
        <f t="shared" si="26"/>
        <v>0</v>
      </c>
      <c r="P65" s="89">
        <f>IF(OR(E65&lt;食数計算!$F$51,F65&lt;食数計算!$F$52),0,1)</f>
        <v>1</v>
      </c>
      <c r="Q65" s="89">
        <f t="shared" si="27"/>
        <v>0</v>
      </c>
      <c r="R65" s="90">
        <f t="shared" si="28"/>
        <v>0</v>
      </c>
    </row>
    <row r="66" spans="2:18" x14ac:dyDescent="0.15">
      <c r="B66" s="205"/>
      <c r="C66" s="206" t="s">
        <v>455</v>
      </c>
      <c r="D66" s="207">
        <v>189</v>
      </c>
      <c r="E66" s="208">
        <v>250</v>
      </c>
      <c r="F66" s="209">
        <f t="shared" si="22"/>
        <v>83</v>
      </c>
      <c r="G66" s="191">
        <v>1</v>
      </c>
      <c r="H66" s="191">
        <v>3</v>
      </c>
      <c r="I66" s="192">
        <v>2</v>
      </c>
      <c r="J66" s="191">
        <v>5</v>
      </c>
      <c r="K66" s="87">
        <f t="shared" si="23"/>
        <v>0</v>
      </c>
      <c r="L66" s="87">
        <f ca="1">IF(OR(E66&lt;面積計算!$F$54,F66&lt;面積計算!$F$55),0,1)</f>
        <v>1</v>
      </c>
      <c r="M66" s="87">
        <f t="shared" ca="1" si="24"/>
        <v>0</v>
      </c>
      <c r="N66" s="88">
        <f t="shared" ca="1" si="25"/>
        <v>0</v>
      </c>
      <c r="O66" s="89">
        <f t="shared" si="26"/>
        <v>0</v>
      </c>
      <c r="P66" s="89">
        <f>IF(OR(E66&lt;食数計算!$F$51,F66&lt;食数計算!$F$52),0,1)</f>
        <v>1</v>
      </c>
      <c r="Q66" s="89">
        <f t="shared" si="27"/>
        <v>0</v>
      </c>
      <c r="R66" s="90">
        <f t="shared" si="28"/>
        <v>0</v>
      </c>
    </row>
    <row r="67" spans="2:18" x14ac:dyDescent="0.15">
      <c r="B67" s="205"/>
      <c r="C67" s="206" t="s">
        <v>456</v>
      </c>
      <c r="D67" s="207">
        <v>221</v>
      </c>
      <c r="E67" s="208">
        <v>300</v>
      </c>
      <c r="F67" s="209">
        <f t="shared" si="22"/>
        <v>99.6</v>
      </c>
      <c r="G67" s="191">
        <v>1</v>
      </c>
      <c r="H67" s="191">
        <v>3</v>
      </c>
      <c r="I67" s="192">
        <v>2</v>
      </c>
      <c r="J67" s="191">
        <v>5</v>
      </c>
      <c r="K67" s="87">
        <f t="shared" si="23"/>
        <v>0</v>
      </c>
      <c r="L67" s="87">
        <f ca="1">IF(OR(E67&lt;面積計算!$F$54,F67&lt;面積計算!$F$55),0,1)</f>
        <v>1</v>
      </c>
      <c r="M67" s="87">
        <f t="shared" ca="1" si="24"/>
        <v>0</v>
      </c>
      <c r="N67" s="88">
        <f t="shared" ca="1" si="25"/>
        <v>0</v>
      </c>
      <c r="O67" s="89">
        <f t="shared" si="26"/>
        <v>0</v>
      </c>
      <c r="P67" s="89">
        <f>IF(OR(E67&lt;食数計算!$F$51,F67&lt;食数計算!$F$52),0,1)</f>
        <v>1</v>
      </c>
      <c r="Q67" s="89">
        <f t="shared" si="27"/>
        <v>0</v>
      </c>
      <c r="R67" s="90">
        <f t="shared" si="28"/>
        <v>0</v>
      </c>
    </row>
    <row r="68" spans="2:18" x14ac:dyDescent="0.15">
      <c r="B68" s="227"/>
      <c r="C68" s="206" t="s">
        <v>457</v>
      </c>
      <c r="D68" s="207">
        <v>286</v>
      </c>
      <c r="E68" s="208">
        <v>400</v>
      </c>
      <c r="F68" s="209">
        <f t="shared" si="22"/>
        <v>132.80000000000001</v>
      </c>
      <c r="G68" s="191">
        <v>1</v>
      </c>
      <c r="H68" s="191">
        <v>3</v>
      </c>
      <c r="I68" s="192">
        <v>2</v>
      </c>
      <c r="J68" s="191">
        <v>5</v>
      </c>
      <c r="K68" s="87">
        <f t="shared" si="23"/>
        <v>0</v>
      </c>
      <c r="L68" s="87">
        <f ca="1">IF(OR(E68&lt;面積計算!$F$54,F68&lt;面積計算!$F$55),0,1)</f>
        <v>1</v>
      </c>
      <c r="M68" s="87">
        <f t="shared" ca="1" si="24"/>
        <v>0</v>
      </c>
      <c r="N68" s="88">
        <f t="shared" ca="1" si="25"/>
        <v>0</v>
      </c>
      <c r="O68" s="89">
        <f t="shared" si="26"/>
        <v>0</v>
      </c>
      <c r="P68" s="89">
        <f>IF(OR(E68&lt;食数計算!$F$51,F68&lt;食数計算!$F$52),0,1)</f>
        <v>1</v>
      </c>
      <c r="Q68" s="89">
        <f t="shared" si="27"/>
        <v>0</v>
      </c>
      <c r="R68" s="90">
        <f t="shared" si="28"/>
        <v>0</v>
      </c>
    </row>
    <row r="69" spans="2:18" x14ac:dyDescent="0.15">
      <c r="B69" s="210"/>
      <c r="C69" s="216" t="s">
        <v>484</v>
      </c>
      <c r="D69" s="217">
        <v>31</v>
      </c>
      <c r="E69" s="218">
        <v>50</v>
      </c>
      <c r="F69" s="219">
        <f t="shared" ref="F69" si="29">ROUNDDOWN(E69*0.332,1)</f>
        <v>16.600000000000001</v>
      </c>
      <c r="G69" s="220">
        <v>1</v>
      </c>
      <c r="H69" s="220">
        <v>2</v>
      </c>
      <c r="I69" s="221">
        <v>1</v>
      </c>
      <c r="J69" s="220">
        <v>2</v>
      </c>
      <c r="K69" s="222">
        <f t="shared" si="23"/>
        <v>1</v>
      </c>
      <c r="L69" s="222">
        <f ca="1">IF(OR(E69&lt;面積計算!$F$54,F69&lt;面積計算!$F$55),0,1)</f>
        <v>0</v>
      </c>
      <c r="M69" s="222">
        <f t="shared" ca="1" si="24"/>
        <v>0</v>
      </c>
      <c r="N69" s="223">
        <f t="shared" ca="1" si="25"/>
        <v>0</v>
      </c>
      <c r="O69" s="224">
        <f t="shared" si="26"/>
        <v>1</v>
      </c>
      <c r="P69" s="224">
        <f>IF(OR(E69&lt;食数計算!$F$51,F69&lt;食数計算!$F$52),0,1)</f>
        <v>1</v>
      </c>
      <c r="Q69" s="224">
        <f t="shared" si="27"/>
        <v>1</v>
      </c>
      <c r="R69" s="225">
        <f t="shared" si="28"/>
        <v>200</v>
      </c>
    </row>
    <row r="70" spans="2:18" x14ac:dyDescent="0.15">
      <c r="B70" s="210"/>
      <c r="C70" s="211" t="s">
        <v>466</v>
      </c>
      <c r="D70" s="193">
        <v>65</v>
      </c>
      <c r="E70" s="194">
        <v>70</v>
      </c>
      <c r="F70" s="195">
        <f t="shared" si="22"/>
        <v>23.2</v>
      </c>
      <c r="G70" s="196">
        <v>1</v>
      </c>
      <c r="H70" s="196">
        <v>2</v>
      </c>
      <c r="I70" s="197">
        <v>1</v>
      </c>
      <c r="J70" s="196">
        <v>2</v>
      </c>
      <c r="K70" s="87">
        <f t="shared" ref="K70:K77" si="30">IF(AND(H70=$H$4,I70=$I$4,J70=$J$4),1,0)</f>
        <v>1</v>
      </c>
      <c r="L70" s="87">
        <f ca="1">IF(OR(E70&lt;面積計算!$F$54,F70&lt;面積計算!$F$55),0,1)</f>
        <v>0</v>
      </c>
      <c r="M70" s="87">
        <f t="shared" ref="M70:M77" ca="1" si="31">K70*L70</f>
        <v>0</v>
      </c>
      <c r="N70" s="88">
        <f t="shared" ref="N70:N77" ca="1" si="32">M70/E70*10000</f>
        <v>0</v>
      </c>
      <c r="O70" s="89">
        <f t="shared" ref="O70:O77" si="33">IF(AND(H70=$H$3,I70=$I$3,J70=$J$3),1,0)</f>
        <v>1</v>
      </c>
      <c r="P70" s="89">
        <f>IF(OR(E70&lt;食数計算!$F$51,F70&lt;食数計算!$F$52),0,1)</f>
        <v>1</v>
      </c>
      <c r="Q70" s="89">
        <f t="shared" ref="Q70:Q77" si="34">O70*P70</f>
        <v>1</v>
      </c>
      <c r="R70" s="90">
        <f t="shared" ref="R70:R77" si="35">Q70/E70*10000</f>
        <v>142.85714285714286</v>
      </c>
    </row>
    <row r="71" spans="2:18" x14ac:dyDescent="0.15">
      <c r="B71" s="210"/>
      <c r="C71" s="211" t="s">
        <v>467</v>
      </c>
      <c r="D71" s="193">
        <v>84</v>
      </c>
      <c r="E71" s="194">
        <v>120</v>
      </c>
      <c r="F71" s="195">
        <f t="shared" si="22"/>
        <v>39.799999999999997</v>
      </c>
      <c r="G71" s="196">
        <v>1</v>
      </c>
      <c r="H71" s="196">
        <v>2</v>
      </c>
      <c r="I71" s="197">
        <v>1</v>
      </c>
      <c r="J71" s="196">
        <v>2</v>
      </c>
      <c r="K71" s="87">
        <f t="shared" si="30"/>
        <v>1</v>
      </c>
      <c r="L71" s="87">
        <f ca="1">IF(OR(E71&lt;面積計算!$F$54,F71&lt;面積計算!$F$55),0,1)</f>
        <v>1</v>
      </c>
      <c r="M71" s="87">
        <f t="shared" ca="1" si="31"/>
        <v>1</v>
      </c>
      <c r="N71" s="88">
        <f t="shared" ca="1" si="32"/>
        <v>83.333333333333329</v>
      </c>
      <c r="O71" s="89">
        <f t="shared" si="33"/>
        <v>1</v>
      </c>
      <c r="P71" s="89">
        <f>IF(OR(E71&lt;食数計算!$F$51,F71&lt;食数計算!$F$52),0,1)</f>
        <v>1</v>
      </c>
      <c r="Q71" s="89">
        <f t="shared" si="34"/>
        <v>1</v>
      </c>
      <c r="R71" s="90">
        <f t="shared" si="35"/>
        <v>83.333333333333329</v>
      </c>
    </row>
    <row r="72" spans="2:18" x14ac:dyDescent="0.15">
      <c r="B72" s="210"/>
      <c r="C72" s="211" t="s">
        <v>468</v>
      </c>
      <c r="D72" s="193">
        <v>104</v>
      </c>
      <c r="E72" s="194">
        <v>150</v>
      </c>
      <c r="F72" s="195">
        <f t="shared" si="22"/>
        <v>49.8</v>
      </c>
      <c r="G72" s="196">
        <v>1</v>
      </c>
      <c r="H72" s="196">
        <v>2</v>
      </c>
      <c r="I72" s="197">
        <v>1</v>
      </c>
      <c r="J72" s="196">
        <v>2</v>
      </c>
      <c r="K72" s="87">
        <f t="shared" si="30"/>
        <v>1</v>
      </c>
      <c r="L72" s="87">
        <f ca="1">IF(OR(E72&lt;面積計算!$F$54,F72&lt;面積計算!$F$55),0,1)</f>
        <v>1</v>
      </c>
      <c r="M72" s="87">
        <f t="shared" ca="1" si="31"/>
        <v>1</v>
      </c>
      <c r="N72" s="88">
        <f t="shared" ca="1" si="32"/>
        <v>66.666666666666671</v>
      </c>
      <c r="O72" s="89">
        <f t="shared" si="33"/>
        <v>1</v>
      </c>
      <c r="P72" s="89">
        <f>IF(OR(E72&lt;食数計算!$F$51,F72&lt;食数計算!$F$52),0,1)</f>
        <v>1</v>
      </c>
      <c r="Q72" s="89">
        <f t="shared" si="34"/>
        <v>1</v>
      </c>
      <c r="R72" s="90">
        <f t="shared" si="35"/>
        <v>66.666666666666671</v>
      </c>
    </row>
    <row r="73" spans="2:18" x14ac:dyDescent="0.15">
      <c r="B73" s="210"/>
      <c r="C73" s="211" t="s">
        <v>469</v>
      </c>
      <c r="D73" s="193">
        <v>135</v>
      </c>
      <c r="E73" s="194">
        <v>200</v>
      </c>
      <c r="F73" s="195">
        <f t="shared" si="22"/>
        <v>66.400000000000006</v>
      </c>
      <c r="G73" s="196">
        <v>1</v>
      </c>
      <c r="H73" s="196">
        <v>2</v>
      </c>
      <c r="I73" s="197">
        <v>1</v>
      </c>
      <c r="J73" s="196">
        <v>2</v>
      </c>
      <c r="K73" s="87">
        <f t="shared" si="30"/>
        <v>1</v>
      </c>
      <c r="L73" s="87">
        <f ca="1">IF(OR(E73&lt;面積計算!$F$54,F73&lt;面積計算!$F$55),0,1)</f>
        <v>1</v>
      </c>
      <c r="M73" s="87">
        <f t="shared" ca="1" si="31"/>
        <v>1</v>
      </c>
      <c r="N73" s="88">
        <f t="shared" ca="1" si="32"/>
        <v>50</v>
      </c>
      <c r="O73" s="89">
        <f t="shared" si="33"/>
        <v>1</v>
      </c>
      <c r="P73" s="89">
        <f>IF(OR(E73&lt;食数計算!$F$51,F73&lt;食数計算!$F$52),0,1)</f>
        <v>1</v>
      </c>
      <c r="Q73" s="89">
        <f t="shared" si="34"/>
        <v>1</v>
      </c>
      <c r="R73" s="90">
        <f t="shared" si="35"/>
        <v>50</v>
      </c>
    </row>
    <row r="74" spans="2:18" x14ac:dyDescent="0.15">
      <c r="B74" s="210"/>
      <c r="C74" s="211" t="s">
        <v>470</v>
      </c>
      <c r="D74" s="193">
        <v>162</v>
      </c>
      <c r="E74" s="194">
        <v>250</v>
      </c>
      <c r="F74" s="195">
        <f t="shared" si="22"/>
        <v>83</v>
      </c>
      <c r="G74" s="196">
        <v>1</v>
      </c>
      <c r="H74" s="196">
        <v>2</v>
      </c>
      <c r="I74" s="197">
        <v>1</v>
      </c>
      <c r="J74" s="196">
        <v>2</v>
      </c>
      <c r="K74" s="87">
        <f t="shared" si="30"/>
        <v>1</v>
      </c>
      <c r="L74" s="87">
        <f ca="1">IF(OR(E74&lt;面積計算!$F$54,F74&lt;面積計算!$F$55),0,1)</f>
        <v>1</v>
      </c>
      <c r="M74" s="87">
        <f t="shared" ca="1" si="31"/>
        <v>1</v>
      </c>
      <c r="N74" s="88">
        <f t="shared" ca="1" si="32"/>
        <v>40</v>
      </c>
      <c r="O74" s="89">
        <f t="shared" si="33"/>
        <v>1</v>
      </c>
      <c r="P74" s="89">
        <f>IF(OR(E74&lt;食数計算!$F$51,F74&lt;食数計算!$F$52),0,1)</f>
        <v>1</v>
      </c>
      <c r="Q74" s="89">
        <f t="shared" si="34"/>
        <v>1</v>
      </c>
      <c r="R74" s="90">
        <f t="shared" si="35"/>
        <v>40</v>
      </c>
    </row>
    <row r="75" spans="2:18" x14ac:dyDescent="0.15">
      <c r="B75" s="210"/>
      <c r="C75" s="211" t="s">
        <v>471</v>
      </c>
      <c r="D75" s="193">
        <v>189</v>
      </c>
      <c r="E75" s="194">
        <v>300</v>
      </c>
      <c r="F75" s="195">
        <f t="shared" si="22"/>
        <v>99.6</v>
      </c>
      <c r="G75" s="196">
        <v>1</v>
      </c>
      <c r="H75" s="196">
        <v>2</v>
      </c>
      <c r="I75" s="197">
        <v>1</v>
      </c>
      <c r="J75" s="196">
        <v>2</v>
      </c>
      <c r="K75" s="87">
        <f t="shared" si="30"/>
        <v>1</v>
      </c>
      <c r="L75" s="87">
        <f ca="1">IF(OR(E75&lt;面積計算!$F$54,F75&lt;面積計算!$F$55),0,1)</f>
        <v>1</v>
      </c>
      <c r="M75" s="87">
        <f t="shared" ca="1" si="31"/>
        <v>1</v>
      </c>
      <c r="N75" s="88">
        <f t="shared" ca="1" si="32"/>
        <v>33.333333333333336</v>
      </c>
      <c r="O75" s="89">
        <f t="shared" si="33"/>
        <v>1</v>
      </c>
      <c r="P75" s="89">
        <f>IF(OR(E75&lt;食数計算!$F$51,F75&lt;食数計算!$F$52),0,1)</f>
        <v>1</v>
      </c>
      <c r="Q75" s="89">
        <f t="shared" si="34"/>
        <v>1</v>
      </c>
      <c r="R75" s="90">
        <f t="shared" si="35"/>
        <v>33.333333333333336</v>
      </c>
    </row>
    <row r="76" spans="2:18" x14ac:dyDescent="0.15">
      <c r="B76" s="226"/>
      <c r="C76" s="211" t="s">
        <v>472</v>
      </c>
      <c r="D76" s="193">
        <v>285</v>
      </c>
      <c r="E76" s="194">
        <v>400</v>
      </c>
      <c r="F76" s="195">
        <f t="shared" si="22"/>
        <v>132.80000000000001</v>
      </c>
      <c r="G76" s="196">
        <v>1</v>
      </c>
      <c r="H76" s="196">
        <v>2</v>
      </c>
      <c r="I76" s="197">
        <v>1</v>
      </c>
      <c r="J76" s="196">
        <v>2</v>
      </c>
      <c r="K76" s="87">
        <f t="shared" si="30"/>
        <v>1</v>
      </c>
      <c r="L76" s="87">
        <f ca="1">IF(OR(E76&lt;面積計算!$F$54,F76&lt;面積計算!$F$55),0,1)</f>
        <v>1</v>
      </c>
      <c r="M76" s="87">
        <f t="shared" ca="1" si="31"/>
        <v>1</v>
      </c>
      <c r="N76" s="88">
        <f t="shared" ca="1" si="32"/>
        <v>25</v>
      </c>
      <c r="O76" s="89">
        <f t="shared" si="33"/>
        <v>1</v>
      </c>
      <c r="P76" s="89">
        <f>IF(OR(E76&lt;食数計算!$F$51,F76&lt;食数計算!$F$52),0,1)</f>
        <v>1</v>
      </c>
      <c r="Q76" s="89">
        <f t="shared" si="34"/>
        <v>1</v>
      </c>
      <c r="R76" s="90">
        <f t="shared" si="35"/>
        <v>25</v>
      </c>
    </row>
    <row r="77" spans="2:18" x14ac:dyDescent="0.15">
      <c r="B77" s="210"/>
      <c r="C77" s="216" t="s">
        <v>485</v>
      </c>
      <c r="D77" s="217">
        <v>31</v>
      </c>
      <c r="E77" s="218">
        <v>50</v>
      </c>
      <c r="F77" s="219">
        <f t="shared" si="22"/>
        <v>16.600000000000001</v>
      </c>
      <c r="G77" s="220">
        <v>1</v>
      </c>
      <c r="H77" s="220">
        <v>2</v>
      </c>
      <c r="I77" s="221">
        <v>2</v>
      </c>
      <c r="J77" s="220">
        <v>2</v>
      </c>
      <c r="K77" s="222">
        <f t="shared" si="30"/>
        <v>0</v>
      </c>
      <c r="L77" s="222">
        <f ca="1">IF(OR(E77&lt;面積計算!$F$54,F77&lt;面積計算!$F$55),0,1)</f>
        <v>0</v>
      </c>
      <c r="M77" s="222">
        <f t="shared" ca="1" si="31"/>
        <v>0</v>
      </c>
      <c r="N77" s="223">
        <f t="shared" ca="1" si="32"/>
        <v>0</v>
      </c>
      <c r="O77" s="224">
        <f t="shared" si="33"/>
        <v>0</v>
      </c>
      <c r="P77" s="224">
        <f>IF(OR(E77&lt;食数計算!$F$51,F77&lt;食数計算!$F$52),0,1)</f>
        <v>1</v>
      </c>
      <c r="Q77" s="224">
        <f t="shared" si="34"/>
        <v>0</v>
      </c>
      <c r="R77" s="225">
        <f t="shared" si="35"/>
        <v>0</v>
      </c>
    </row>
    <row r="78" spans="2:18" x14ac:dyDescent="0.15">
      <c r="B78" s="210"/>
      <c r="C78" s="211" t="s">
        <v>473</v>
      </c>
      <c r="D78" s="193">
        <v>65</v>
      </c>
      <c r="E78" s="194">
        <v>70</v>
      </c>
      <c r="F78" s="195">
        <f t="shared" ref="F78:F84" si="36">ROUNDDOWN(E78*0.332,1)</f>
        <v>23.2</v>
      </c>
      <c r="G78" s="196">
        <v>1</v>
      </c>
      <c r="H78" s="196">
        <v>2</v>
      </c>
      <c r="I78" s="197">
        <v>2</v>
      </c>
      <c r="J78" s="196">
        <v>2</v>
      </c>
      <c r="K78" s="87">
        <f t="shared" ref="K78:K84" si="37">IF(AND(H78=$H$4,I78=$I$4,J78=$J$4),1,0)</f>
        <v>0</v>
      </c>
      <c r="L78" s="87">
        <f ca="1">IF(OR(E78&lt;面積計算!$F$54,F78&lt;面積計算!$F$55),0,1)</f>
        <v>0</v>
      </c>
      <c r="M78" s="87">
        <f t="shared" ref="M78:M84" ca="1" si="38">K78*L78</f>
        <v>0</v>
      </c>
      <c r="N78" s="88">
        <f t="shared" ref="N78:N84" ca="1" si="39">M78/E78*10000</f>
        <v>0</v>
      </c>
      <c r="O78" s="89">
        <f t="shared" ref="O78:O84" si="40">IF(AND(H78=$H$3,I78=$I$3,J78=$J$3),1,0)</f>
        <v>0</v>
      </c>
      <c r="P78" s="89">
        <f>IF(OR(E78&lt;食数計算!$F$51,F78&lt;食数計算!$F$52),0,1)</f>
        <v>1</v>
      </c>
      <c r="Q78" s="89">
        <f t="shared" ref="Q78:Q84" si="41">O78*P78</f>
        <v>0</v>
      </c>
      <c r="R78" s="90">
        <f t="shared" ref="R78:R84" si="42">Q78/E78*10000</f>
        <v>0</v>
      </c>
    </row>
    <row r="79" spans="2:18" x14ac:dyDescent="0.15">
      <c r="B79" s="210"/>
      <c r="C79" s="211" t="s">
        <v>474</v>
      </c>
      <c r="D79" s="193">
        <v>84</v>
      </c>
      <c r="E79" s="194">
        <v>120</v>
      </c>
      <c r="F79" s="195">
        <f t="shared" si="36"/>
        <v>39.799999999999997</v>
      </c>
      <c r="G79" s="196">
        <v>1</v>
      </c>
      <c r="H79" s="196">
        <v>2</v>
      </c>
      <c r="I79" s="197">
        <v>2</v>
      </c>
      <c r="J79" s="196">
        <v>2</v>
      </c>
      <c r="K79" s="87">
        <f t="shared" si="37"/>
        <v>0</v>
      </c>
      <c r="L79" s="87">
        <f ca="1">IF(OR(E79&lt;面積計算!$F$54,F79&lt;面積計算!$F$55),0,1)</f>
        <v>1</v>
      </c>
      <c r="M79" s="87">
        <f t="shared" ca="1" si="38"/>
        <v>0</v>
      </c>
      <c r="N79" s="88">
        <f t="shared" ca="1" si="39"/>
        <v>0</v>
      </c>
      <c r="O79" s="89">
        <f t="shared" si="40"/>
        <v>0</v>
      </c>
      <c r="P79" s="89">
        <f>IF(OR(E79&lt;食数計算!$F$51,F79&lt;食数計算!$F$52),0,1)</f>
        <v>1</v>
      </c>
      <c r="Q79" s="89">
        <f t="shared" si="41"/>
        <v>0</v>
      </c>
      <c r="R79" s="90">
        <f t="shared" si="42"/>
        <v>0</v>
      </c>
    </row>
    <row r="80" spans="2:18" x14ac:dyDescent="0.15">
      <c r="B80" s="210"/>
      <c r="C80" s="211" t="s">
        <v>475</v>
      </c>
      <c r="D80" s="193">
        <v>104</v>
      </c>
      <c r="E80" s="194">
        <v>150</v>
      </c>
      <c r="F80" s="195">
        <f t="shared" si="36"/>
        <v>49.8</v>
      </c>
      <c r="G80" s="196">
        <v>1</v>
      </c>
      <c r="H80" s="196">
        <v>2</v>
      </c>
      <c r="I80" s="197">
        <v>2</v>
      </c>
      <c r="J80" s="196">
        <v>2</v>
      </c>
      <c r="K80" s="87">
        <f t="shared" si="37"/>
        <v>0</v>
      </c>
      <c r="L80" s="87">
        <f ca="1">IF(OR(E80&lt;面積計算!$F$54,F80&lt;面積計算!$F$55),0,1)</f>
        <v>1</v>
      </c>
      <c r="M80" s="87">
        <f t="shared" ca="1" si="38"/>
        <v>0</v>
      </c>
      <c r="N80" s="88">
        <f t="shared" ca="1" si="39"/>
        <v>0</v>
      </c>
      <c r="O80" s="89">
        <f t="shared" si="40"/>
        <v>0</v>
      </c>
      <c r="P80" s="89">
        <f>IF(OR(E80&lt;食数計算!$F$51,F80&lt;食数計算!$F$52),0,1)</f>
        <v>1</v>
      </c>
      <c r="Q80" s="89">
        <f t="shared" si="41"/>
        <v>0</v>
      </c>
      <c r="R80" s="90">
        <f t="shared" si="42"/>
        <v>0</v>
      </c>
    </row>
    <row r="81" spans="2:18" x14ac:dyDescent="0.15">
      <c r="B81" s="210"/>
      <c r="C81" s="211" t="s">
        <v>476</v>
      </c>
      <c r="D81" s="193">
        <v>135</v>
      </c>
      <c r="E81" s="194">
        <v>200</v>
      </c>
      <c r="F81" s="195">
        <f t="shared" si="36"/>
        <v>66.400000000000006</v>
      </c>
      <c r="G81" s="196">
        <v>1</v>
      </c>
      <c r="H81" s="196">
        <v>2</v>
      </c>
      <c r="I81" s="197">
        <v>2</v>
      </c>
      <c r="J81" s="196">
        <v>2</v>
      </c>
      <c r="K81" s="87">
        <f t="shared" si="37"/>
        <v>0</v>
      </c>
      <c r="L81" s="87">
        <f ca="1">IF(OR(E81&lt;面積計算!$F$54,F81&lt;面積計算!$F$55),0,1)</f>
        <v>1</v>
      </c>
      <c r="M81" s="87">
        <f t="shared" ca="1" si="38"/>
        <v>0</v>
      </c>
      <c r="N81" s="88">
        <f t="shared" ca="1" si="39"/>
        <v>0</v>
      </c>
      <c r="O81" s="89">
        <f t="shared" si="40"/>
        <v>0</v>
      </c>
      <c r="P81" s="89">
        <f>IF(OR(E81&lt;食数計算!$F$51,F81&lt;食数計算!$F$52),0,1)</f>
        <v>1</v>
      </c>
      <c r="Q81" s="89">
        <f t="shared" si="41"/>
        <v>0</v>
      </c>
      <c r="R81" s="90">
        <f t="shared" si="42"/>
        <v>0</v>
      </c>
    </row>
    <row r="82" spans="2:18" x14ac:dyDescent="0.15">
      <c r="B82" s="210"/>
      <c r="C82" s="211" t="s">
        <v>477</v>
      </c>
      <c r="D82" s="193">
        <v>162</v>
      </c>
      <c r="E82" s="194">
        <v>250</v>
      </c>
      <c r="F82" s="195">
        <f t="shared" si="36"/>
        <v>83</v>
      </c>
      <c r="G82" s="196">
        <v>1</v>
      </c>
      <c r="H82" s="196">
        <v>2</v>
      </c>
      <c r="I82" s="197">
        <v>2</v>
      </c>
      <c r="J82" s="196">
        <v>2</v>
      </c>
      <c r="K82" s="87">
        <f t="shared" si="37"/>
        <v>0</v>
      </c>
      <c r="L82" s="87">
        <f ca="1">IF(OR(E82&lt;面積計算!$F$54,F82&lt;面積計算!$F$55),0,1)</f>
        <v>1</v>
      </c>
      <c r="M82" s="87">
        <f t="shared" ca="1" si="38"/>
        <v>0</v>
      </c>
      <c r="N82" s="88">
        <f t="shared" ca="1" si="39"/>
        <v>0</v>
      </c>
      <c r="O82" s="89">
        <f t="shared" si="40"/>
        <v>0</v>
      </c>
      <c r="P82" s="89">
        <f>IF(OR(E82&lt;食数計算!$F$51,F82&lt;食数計算!$F$52),0,1)</f>
        <v>1</v>
      </c>
      <c r="Q82" s="89">
        <f t="shared" si="41"/>
        <v>0</v>
      </c>
      <c r="R82" s="90">
        <f t="shared" si="42"/>
        <v>0</v>
      </c>
    </row>
    <row r="83" spans="2:18" x14ac:dyDescent="0.15">
      <c r="B83" s="210"/>
      <c r="C83" s="211" t="s">
        <v>478</v>
      </c>
      <c r="D83" s="193">
        <v>189</v>
      </c>
      <c r="E83" s="194">
        <v>300</v>
      </c>
      <c r="F83" s="195">
        <f t="shared" si="36"/>
        <v>99.6</v>
      </c>
      <c r="G83" s="196">
        <v>1</v>
      </c>
      <c r="H83" s="196">
        <v>2</v>
      </c>
      <c r="I83" s="197">
        <v>2</v>
      </c>
      <c r="J83" s="196">
        <v>2</v>
      </c>
      <c r="K83" s="87">
        <f t="shared" si="37"/>
        <v>0</v>
      </c>
      <c r="L83" s="87">
        <f ca="1">IF(OR(E83&lt;面積計算!$F$54,F83&lt;面積計算!$F$55),0,1)</f>
        <v>1</v>
      </c>
      <c r="M83" s="87">
        <f t="shared" ca="1" si="38"/>
        <v>0</v>
      </c>
      <c r="N83" s="88">
        <f t="shared" ca="1" si="39"/>
        <v>0</v>
      </c>
      <c r="O83" s="89">
        <f t="shared" si="40"/>
        <v>0</v>
      </c>
      <c r="P83" s="89">
        <f>IF(OR(E83&lt;食数計算!$F$51,F83&lt;食数計算!$F$52),0,1)</f>
        <v>1</v>
      </c>
      <c r="Q83" s="89">
        <f t="shared" si="41"/>
        <v>0</v>
      </c>
      <c r="R83" s="90">
        <f t="shared" si="42"/>
        <v>0</v>
      </c>
    </row>
    <row r="84" spans="2:18" x14ac:dyDescent="0.15">
      <c r="B84" s="210"/>
      <c r="C84" s="211" t="s">
        <v>479</v>
      </c>
      <c r="D84" s="193">
        <v>285</v>
      </c>
      <c r="E84" s="194">
        <v>400</v>
      </c>
      <c r="F84" s="195">
        <f t="shared" si="36"/>
        <v>132.80000000000001</v>
      </c>
      <c r="G84" s="196">
        <v>1</v>
      </c>
      <c r="H84" s="196">
        <v>2</v>
      </c>
      <c r="I84" s="197">
        <v>2</v>
      </c>
      <c r="J84" s="196">
        <v>2</v>
      </c>
      <c r="K84" s="87">
        <f t="shared" si="37"/>
        <v>0</v>
      </c>
      <c r="L84" s="87">
        <f ca="1">IF(OR(E84&lt;面積計算!$F$54,F84&lt;面積計算!$F$55),0,1)</f>
        <v>1</v>
      </c>
      <c r="M84" s="87">
        <f t="shared" ca="1" si="38"/>
        <v>0</v>
      </c>
      <c r="N84" s="88">
        <f t="shared" ca="1" si="39"/>
        <v>0</v>
      </c>
      <c r="O84" s="89">
        <f t="shared" si="40"/>
        <v>0</v>
      </c>
      <c r="P84" s="89">
        <f>IF(OR(E84&lt;食数計算!$F$51,F84&lt;食数計算!$F$52),0,1)</f>
        <v>1</v>
      </c>
      <c r="Q84" s="89">
        <f t="shared" si="41"/>
        <v>0</v>
      </c>
      <c r="R84" s="90">
        <f t="shared" si="42"/>
        <v>0</v>
      </c>
    </row>
    <row r="85" spans="2:18" x14ac:dyDescent="0.15">
      <c r="B85" s="276"/>
      <c r="C85" s="212" t="s">
        <v>372</v>
      </c>
      <c r="D85" s="186">
        <v>36</v>
      </c>
      <c r="E85" s="187">
        <v>25</v>
      </c>
      <c r="F85" s="188">
        <f t="shared" si="22"/>
        <v>8.3000000000000007</v>
      </c>
      <c r="G85" s="189">
        <v>1</v>
      </c>
      <c r="H85" s="189">
        <v>1</v>
      </c>
      <c r="I85" s="190">
        <v>1</v>
      </c>
      <c r="J85" s="189">
        <v>10</v>
      </c>
      <c r="K85" s="87">
        <f t="shared" si="23"/>
        <v>0</v>
      </c>
      <c r="L85" s="87">
        <f ca="1">IF(OR(E85&lt;面積計算!$F$54,F85&lt;面積計算!$F$55),0,1)</f>
        <v>0</v>
      </c>
      <c r="M85" s="87">
        <f t="shared" ca="1" si="24"/>
        <v>0</v>
      </c>
      <c r="N85" s="88">
        <f t="shared" ca="1" si="25"/>
        <v>0</v>
      </c>
      <c r="O85" s="89">
        <f t="shared" si="26"/>
        <v>0</v>
      </c>
      <c r="P85" s="89">
        <f>IF(OR(E85&lt;食数計算!$F$51,F85&lt;食数計算!$F$52),0,1)</f>
        <v>1</v>
      </c>
      <c r="Q85" s="89">
        <f t="shared" si="27"/>
        <v>0</v>
      </c>
      <c r="R85" s="90">
        <f t="shared" si="28"/>
        <v>0</v>
      </c>
    </row>
    <row r="86" spans="2:18" x14ac:dyDescent="0.15">
      <c r="B86" s="277"/>
      <c r="C86" s="212" t="s">
        <v>373</v>
      </c>
      <c r="D86" s="186">
        <v>39</v>
      </c>
      <c r="E86" s="187">
        <v>50</v>
      </c>
      <c r="F86" s="188">
        <f t="shared" si="22"/>
        <v>16.600000000000001</v>
      </c>
      <c r="G86" s="189">
        <v>1</v>
      </c>
      <c r="H86" s="189">
        <v>1</v>
      </c>
      <c r="I86" s="190">
        <v>1</v>
      </c>
      <c r="J86" s="189">
        <v>10</v>
      </c>
      <c r="K86" s="87">
        <f t="shared" si="23"/>
        <v>0</v>
      </c>
      <c r="L86" s="87">
        <f ca="1">IF(OR(E86&lt;面積計算!$F$54,F86&lt;面積計算!$F$55),0,1)</f>
        <v>0</v>
      </c>
      <c r="M86" s="87">
        <f t="shared" ca="1" si="24"/>
        <v>0</v>
      </c>
      <c r="N86" s="88">
        <f t="shared" ca="1" si="25"/>
        <v>0</v>
      </c>
      <c r="O86" s="89">
        <f t="shared" si="26"/>
        <v>0</v>
      </c>
      <c r="P86" s="89">
        <f>IF(OR(E86&lt;食数計算!$F$51,F86&lt;食数計算!$F$52),0,1)</f>
        <v>1</v>
      </c>
      <c r="Q86" s="89">
        <f t="shared" si="27"/>
        <v>0</v>
      </c>
      <c r="R86" s="90">
        <f t="shared" si="28"/>
        <v>0</v>
      </c>
    </row>
    <row r="87" spans="2:18" x14ac:dyDescent="0.15">
      <c r="B87" s="277"/>
      <c r="C87" s="212" t="s">
        <v>374</v>
      </c>
      <c r="D87" s="186">
        <v>47</v>
      </c>
      <c r="E87" s="187">
        <v>60</v>
      </c>
      <c r="F87" s="188">
        <f t="shared" si="22"/>
        <v>19.899999999999999</v>
      </c>
      <c r="G87" s="189">
        <v>1</v>
      </c>
      <c r="H87" s="189">
        <v>1</v>
      </c>
      <c r="I87" s="190">
        <v>1</v>
      </c>
      <c r="J87" s="189">
        <v>10</v>
      </c>
      <c r="K87" s="87">
        <f t="shared" si="23"/>
        <v>0</v>
      </c>
      <c r="L87" s="87">
        <f ca="1">IF(OR(E87&lt;面積計算!$F$54,F87&lt;面積計算!$F$55),0,1)</f>
        <v>0</v>
      </c>
      <c r="M87" s="87">
        <f t="shared" ca="1" si="24"/>
        <v>0</v>
      </c>
      <c r="N87" s="88">
        <f t="shared" ca="1" si="25"/>
        <v>0</v>
      </c>
      <c r="O87" s="89">
        <f t="shared" si="26"/>
        <v>0</v>
      </c>
      <c r="P87" s="89">
        <f>IF(OR(E87&lt;食数計算!$F$51,F87&lt;食数計算!$F$52),0,1)</f>
        <v>1</v>
      </c>
      <c r="Q87" s="89">
        <f t="shared" si="27"/>
        <v>0</v>
      </c>
      <c r="R87" s="90">
        <f t="shared" si="28"/>
        <v>0</v>
      </c>
    </row>
    <row r="88" spans="2:18" x14ac:dyDescent="0.15">
      <c r="B88" s="277"/>
      <c r="C88" s="212" t="s">
        <v>375</v>
      </c>
      <c r="D88" s="186">
        <v>56</v>
      </c>
      <c r="E88" s="187">
        <v>70</v>
      </c>
      <c r="F88" s="188">
        <f t="shared" si="22"/>
        <v>23.2</v>
      </c>
      <c r="G88" s="189">
        <v>1</v>
      </c>
      <c r="H88" s="189">
        <v>1</v>
      </c>
      <c r="I88" s="190">
        <v>1</v>
      </c>
      <c r="J88" s="189">
        <v>10</v>
      </c>
      <c r="K88" s="87">
        <f t="shared" si="23"/>
        <v>0</v>
      </c>
      <c r="L88" s="87">
        <f ca="1">IF(OR(E88&lt;面積計算!$F$54,F88&lt;面積計算!$F$55),0,1)</f>
        <v>0</v>
      </c>
      <c r="M88" s="87">
        <f t="shared" ca="1" si="24"/>
        <v>0</v>
      </c>
      <c r="N88" s="88">
        <f t="shared" ca="1" si="25"/>
        <v>0</v>
      </c>
      <c r="O88" s="89">
        <f t="shared" si="26"/>
        <v>0</v>
      </c>
      <c r="P88" s="89">
        <f>IF(OR(E88&lt;食数計算!$F$51,F88&lt;食数計算!$F$52),0,1)</f>
        <v>1</v>
      </c>
      <c r="Q88" s="89">
        <f t="shared" si="27"/>
        <v>0</v>
      </c>
      <c r="R88" s="90">
        <f t="shared" si="28"/>
        <v>0</v>
      </c>
    </row>
    <row r="89" spans="2:18" x14ac:dyDescent="0.15">
      <c r="B89" s="277"/>
      <c r="C89" s="212" t="s">
        <v>400</v>
      </c>
      <c r="D89" s="186">
        <v>84</v>
      </c>
      <c r="E89" s="187">
        <v>100</v>
      </c>
      <c r="F89" s="188">
        <f t="shared" si="22"/>
        <v>33.200000000000003</v>
      </c>
      <c r="G89" s="189">
        <v>1</v>
      </c>
      <c r="H89" s="189">
        <v>1</v>
      </c>
      <c r="I89" s="190">
        <v>1</v>
      </c>
      <c r="J89" s="189">
        <v>10</v>
      </c>
      <c r="K89" s="87">
        <f t="shared" si="23"/>
        <v>0</v>
      </c>
      <c r="L89" s="87">
        <f ca="1">IF(OR(E89&lt;面積計算!$F$54,F89&lt;面積計算!$F$55),0,1)</f>
        <v>1</v>
      </c>
      <c r="M89" s="87">
        <f t="shared" ca="1" si="24"/>
        <v>0</v>
      </c>
      <c r="N89" s="88">
        <f t="shared" ca="1" si="25"/>
        <v>0</v>
      </c>
      <c r="O89" s="89">
        <f t="shared" si="26"/>
        <v>0</v>
      </c>
      <c r="P89" s="89">
        <f>IF(OR(E89&lt;食数計算!$F$51,F89&lt;食数計算!$F$52),0,1)</f>
        <v>1</v>
      </c>
      <c r="Q89" s="89">
        <f t="shared" si="27"/>
        <v>0</v>
      </c>
      <c r="R89" s="90">
        <f t="shared" si="28"/>
        <v>0</v>
      </c>
    </row>
    <row r="90" spans="2:18" x14ac:dyDescent="0.15">
      <c r="B90" s="277"/>
      <c r="C90" s="212" t="s">
        <v>376</v>
      </c>
      <c r="D90" s="186">
        <v>102</v>
      </c>
      <c r="E90" s="187">
        <v>150</v>
      </c>
      <c r="F90" s="188">
        <f t="shared" si="22"/>
        <v>49.8</v>
      </c>
      <c r="G90" s="189">
        <v>1</v>
      </c>
      <c r="H90" s="189">
        <v>1</v>
      </c>
      <c r="I90" s="190">
        <v>1</v>
      </c>
      <c r="J90" s="189">
        <v>10</v>
      </c>
      <c r="K90" s="87">
        <f t="shared" si="23"/>
        <v>0</v>
      </c>
      <c r="L90" s="87">
        <f ca="1">IF(OR(E90&lt;面積計算!$F$54,F90&lt;面積計算!$F$55),0,1)</f>
        <v>1</v>
      </c>
      <c r="M90" s="87">
        <f t="shared" ca="1" si="24"/>
        <v>0</v>
      </c>
      <c r="N90" s="88">
        <f t="shared" ca="1" si="25"/>
        <v>0</v>
      </c>
      <c r="O90" s="89">
        <f t="shared" si="26"/>
        <v>0</v>
      </c>
      <c r="P90" s="89">
        <f>IF(OR(E90&lt;食数計算!$F$51,F90&lt;食数計算!$F$52),0,1)</f>
        <v>1</v>
      </c>
      <c r="Q90" s="89">
        <f t="shared" si="27"/>
        <v>0</v>
      </c>
      <c r="R90" s="90">
        <f t="shared" si="28"/>
        <v>0</v>
      </c>
    </row>
    <row r="91" spans="2:18" x14ac:dyDescent="0.15">
      <c r="B91" s="277"/>
      <c r="C91" s="212" t="s">
        <v>377</v>
      </c>
      <c r="D91" s="186">
        <v>105</v>
      </c>
      <c r="E91" s="187">
        <v>170</v>
      </c>
      <c r="F91" s="188">
        <f t="shared" si="22"/>
        <v>56.4</v>
      </c>
      <c r="G91" s="189">
        <v>1</v>
      </c>
      <c r="H91" s="189">
        <v>1</v>
      </c>
      <c r="I91" s="190">
        <v>1</v>
      </c>
      <c r="J91" s="189">
        <v>10</v>
      </c>
      <c r="K91" s="87">
        <f t="shared" si="23"/>
        <v>0</v>
      </c>
      <c r="L91" s="87">
        <f ca="1">IF(OR(E91&lt;面積計算!$F$54,F91&lt;面積計算!$F$55),0,1)</f>
        <v>1</v>
      </c>
      <c r="M91" s="87">
        <f t="shared" ca="1" si="24"/>
        <v>0</v>
      </c>
      <c r="N91" s="88">
        <f t="shared" ca="1" si="25"/>
        <v>0</v>
      </c>
      <c r="O91" s="89">
        <f t="shared" si="26"/>
        <v>0</v>
      </c>
      <c r="P91" s="89">
        <f>IF(OR(E91&lt;食数計算!$F$51,F91&lt;食数計算!$F$52),0,1)</f>
        <v>1</v>
      </c>
      <c r="Q91" s="89">
        <f t="shared" si="27"/>
        <v>0</v>
      </c>
      <c r="R91" s="90">
        <f t="shared" si="28"/>
        <v>0</v>
      </c>
    </row>
    <row r="92" spans="2:18" x14ac:dyDescent="0.15">
      <c r="B92" s="278"/>
      <c r="C92" s="212" t="s">
        <v>378</v>
      </c>
      <c r="D92" s="186">
        <v>126</v>
      </c>
      <c r="E92" s="187">
        <v>200</v>
      </c>
      <c r="F92" s="188">
        <f t="shared" si="22"/>
        <v>66.400000000000006</v>
      </c>
      <c r="G92" s="189">
        <v>1</v>
      </c>
      <c r="H92" s="189">
        <v>1</v>
      </c>
      <c r="I92" s="190">
        <v>1</v>
      </c>
      <c r="J92" s="189">
        <v>10</v>
      </c>
      <c r="K92" s="87">
        <f t="shared" si="23"/>
        <v>0</v>
      </c>
      <c r="L92" s="87">
        <f ca="1">IF(OR(E92&lt;面積計算!$F$54,F92&lt;面積計算!$F$55),0,1)</f>
        <v>1</v>
      </c>
      <c r="M92" s="87">
        <f t="shared" ca="1" si="24"/>
        <v>0</v>
      </c>
      <c r="N92" s="88">
        <f t="shared" ca="1" si="25"/>
        <v>0</v>
      </c>
      <c r="O92" s="89">
        <f t="shared" si="26"/>
        <v>0</v>
      </c>
      <c r="P92" s="89">
        <f>IF(OR(E92&lt;食数計算!$F$51,F92&lt;食数計算!$F$52),0,1)</f>
        <v>1</v>
      </c>
      <c r="Q92" s="89">
        <f t="shared" si="27"/>
        <v>0</v>
      </c>
      <c r="R92" s="90">
        <f t="shared" si="28"/>
        <v>0</v>
      </c>
    </row>
    <row r="93" spans="2:18" x14ac:dyDescent="0.15">
      <c r="B93" s="276"/>
      <c r="C93" s="212" t="s">
        <v>379</v>
      </c>
      <c r="D93" s="186">
        <v>36</v>
      </c>
      <c r="E93" s="187">
        <v>25</v>
      </c>
      <c r="F93" s="188">
        <f t="shared" si="22"/>
        <v>8.3000000000000007</v>
      </c>
      <c r="G93" s="189">
        <v>1</v>
      </c>
      <c r="H93" s="189">
        <v>1</v>
      </c>
      <c r="I93" s="190">
        <v>2</v>
      </c>
      <c r="J93" s="189">
        <v>10</v>
      </c>
      <c r="K93" s="87">
        <f t="shared" si="23"/>
        <v>0</v>
      </c>
      <c r="L93" s="87">
        <f ca="1">IF(OR(E93&lt;面積計算!$F$54,F93&lt;面積計算!$F$55),0,1)</f>
        <v>0</v>
      </c>
      <c r="M93" s="87">
        <f t="shared" ca="1" si="24"/>
        <v>0</v>
      </c>
      <c r="N93" s="88">
        <f t="shared" ca="1" si="25"/>
        <v>0</v>
      </c>
      <c r="O93" s="89">
        <f t="shared" si="26"/>
        <v>0</v>
      </c>
      <c r="P93" s="89">
        <f>IF(OR(E93&lt;食数計算!$F$51,F93&lt;食数計算!$F$52),0,1)</f>
        <v>1</v>
      </c>
      <c r="Q93" s="89">
        <f t="shared" si="27"/>
        <v>0</v>
      </c>
      <c r="R93" s="90">
        <f t="shared" si="28"/>
        <v>0</v>
      </c>
    </row>
    <row r="94" spans="2:18" x14ac:dyDescent="0.15">
      <c r="B94" s="277"/>
      <c r="C94" s="212" t="s">
        <v>380</v>
      </c>
      <c r="D94" s="186">
        <v>39</v>
      </c>
      <c r="E94" s="187">
        <v>50</v>
      </c>
      <c r="F94" s="188">
        <f t="shared" si="22"/>
        <v>16.600000000000001</v>
      </c>
      <c r="G94" s="189">
        <v>1</v>
      </c>
      <c r="H94" s="189">
        <v>1</v>
      </c>
      <c r="I94" s="190">
        <v>2</v>
      </c>
      <c r="J94" s="189">
        <v>10</v>
      </c>
      <c r="K94" s="87">
        <f t="shared" si="23"/>
        <v>0</v>
      </c>
      <c r="L94" s="87">
        <f ca="1">IF(OR(E94&lt;面積計算!$F$54,F94&lt;面積計算!$F$55),0,1)</f>
        <v>0</v>
      </c>
      <c r="M94" s="87">
        <f t="shared" ca="1" si="24"/>
        <v>0</v>
      </c>
      <c r="N94" s="88">
        <f t="shared" ca="1" si="25"/>
        <v>0</v>
      </c>
      <c r="O94" s="89">
        <f t="shared" si="26"/>
        <v>0</v>
      </c>
      <c r="P94" s="89">
        <f>IF(OR(E94&lt;食数計算!$F$51,F94&lt;食数計算!$F$52),0,1)</f>
        <v>1</v>
      </c>
      <c r="Q94" s="89">
        <f t="shared" si="27"/>
        <v>0</v>
      </c>
      <c r="R94" s="90">
        <f t="shared" si="28"/>
        <v>0</v>
      </c>
    </row>
    <row r="95" spans="2:18" x14ac:dyDescent="0.15">
      <c r="B95" s="277"/>
      <c r="C95" s="212" t="s">
        <v>381</v>
      </c>
      <c r="D95" s="186">
        <v>47</v>
      </c>
      <c r="E95" s="187">
        <v>60</v>
      </c>
      <c r="F95" s="188">
        <f t="shared" si="22"/>
        <v>19.899999999999999</v>
      </c>
      <c r="G95" s="189">
        <v>1</v>
      </c>
      <c r="H95" s="189">
        <v>1</v>
      </c>
      <c r="I95" s="190">
        <v>2</v>
      </c>
      <c r="J95" s="189">
        <v>10</v>
      </c>
      <c r="K95" s="87">
        <f t="shared" si="23"/>
        <v>0</v>
      </c>
      <c r="L95" s="87">
        <f ca="1">IF(OR(E95&lt;面積計算!$F$54,F95&lt;面積計算!$F$55),0,1)</f>
        <v>0</v>
      </c>
      <c r="M95" s="87">
        <f t="shared" ca="1" si="24"/>
        <v>0</v>
      </c>
      <c r="N95" s="88">
        <f t="shared" ca="1" si="25"/>
        <v>0</v>
      </c>
      <c r="O95" s="89">
        <f t="shared" si="26"/>
        <v>0</v>
      </c>
      <c r="P95" s="89">
        <f>IF(OR(E95&lt;食数計算!$F$51,F95&lt;食数計算!$F$52),0,1)</f>
        <v>1</v>
      </c>
      <c r="Q95" s="89">
        <f t="shared" si="27"/>
        <v>0</v>
      </c>
      <c r="R95" s="90">
        <f t="shared" si="28"/>
        <v>0</v>
      </c>
    </row>
    <row r="96" spans="2:18" x14ac:dyDescent="0.15">
      <c r="B96" s="277"/>
      <c r="C96" s="212" t="s">
        <v>382</v>
      </c>
      <c r="D96" s="186">
        <v>56</v>
      </c>
      <c r="E96" s="187">
        <v>70</v>
      </c>
      <c r="F96" s="188">
        <f t="shared" si="22"/>
        <v>23.2</v>
      </c>
      <c r="G96" s="189">
        <v>1</v>
      </c>
      <c r="H96" s="189">
        <v>1</v>
      </c>
      <c r="I96" s="190">
        <v>2</v>
      </c>
      <c r="J96" s="189">
        <v>10</v>
      </c>
      <c r="K96" s="87">
        <f t="shared" si="23"/>
        <v>0</v>
      </c>
      <c r="L96" s="87">
        <f ca="1">IF(OR(E96&lt;面積計算!$F$54,F96&lt;面積計算!$F$55),0,1)</f>
        <v>0</v>
      </c>
      <c r="M96" s="87">
        <f t="shared" ca="1" si="24"/>
        <v>0</v>
      </c>
      <c r="N96" s="88">
        <f t="shared" ca="1" si="25"/>
        <v>0</v>
      </c>
      <c r="O96" s="89">
        <f t="shared" si="26"/>
        <v>0</v>
      </c>
      <c r="P96" s="89">
        <f>IF(OR(E96&lt;食数計算!$F$51,F96&lt;食数計算!$F$52),0,1)</f>
        <v>1</v>
      </c>
      <c r="Q96" s="89">
        <f t="shared" si="27"/>
        <v>0</v>
      </c>
      <c r="R96" s="90">
        <f t="shared" si="28"/>
        <v>0</v>
      </c>
    </row>
    <row r="97" spans="2:18" x14ac:dyDescent="0.15">
      <c r="B97" s="277"/>
      <c r="C97" s="212" t="s">
        <v>383</v>
      </c>
      <c r="D97" s="186">
        <v>84</v>
      </c>
      <c r="E97" s="187">
        <v>100</v>
      </c>
      <c r="F97" s="188">
        <f t="shared" si="22"/>
        <v>33.200000000000003</v>
      </c>
      <c r="G97" s="189">
        <v>1</v>
      </c>
      <c r="H97" s="189">
        <v>1</v>
      </c>
      <c r="I97" s="190">
        <v>2</v>
      </c>
      <c r="J97" s="189">
        <v>10</v>
      </c>
      <c r="K97" s="87">
        <f t="shared" si="23"/>
        <v>0</v>
      </c>
      <c r="L97" s="87">
        <f ca="1">IF(OR(E97&lt;面積計算!$F$54,F97&lt;面積計算!$F$55),0,1)</f>
        <v>1</v>
      </c>
      <c r="M97" s="87">
        <f t="shared" ca="1" si="24"/>
        <v>0</v>
      </c>
      <c r="N97" s="88">
        <f t="shared" ca="1" si="25"/>
        <v>0</v>
      </c>
      <c r="O97" s="89">
        <f t="shared" si="26"/>
        <v>0</v>
      </c>
      <c r="P97" s="89">
        <f>IF(OR(E97&lt;食数計算!$F$51,F97&lt;食数計算!$F$52),0,1)</f>
        <v>1</v>
      </c>
      <c r="Q97" s="89">
        <f t="shared" si="27"/>
        <v>0</v>
      </c>
      <c r="R97" s="90">
        <f t="shared" si="28"/>
        <v>0</v>
      </c>
    </row>
    <row r="98" spans="2:18" x14ac:dyDescent="0.15">
      <c r="B98" s="277"/>
      <c r="C98" s="212" t="s">
        <v>384</v>
      </c>
      <c r="D98" s="186">
        <v>102</v>
      </c>
      <c r="E98" s="187">
        <v>150</v>
      </c>
      <c r="F98" s="188">
        <f t="shared" si="22"/>
        <v>49.8</v>
      </c>
      <c r="G98" s="189">
        <v>1</v>
      </c>
      <c r="H98" s="189">
        <v>1</v>
      </c>
      <c r="I98" s="190">
        <v>2</v>
      </c>
      <c r="J98" s="189">
        <v>10</v>
      </c>
      <c r="K98" s="87">
        <f t="shared" si="23"/>
        <v>0</v>
      </c>
      <c r="L98" s="87">
        <f ca="1">IF(OR(E98&lt;面積計算!$F$54,F98&lt;面積計算!$F$55),0,1)</f>
        <v>1</v>
      </c>
      <c r="M98" s="87">
        <f t="shared" ca="1" si="24"/>
        <v>0</v>
      </c>
      <c r="N98" s="88">
        <f t="shared" ca="1" si="25"/>
        <v>0</v>
      </c>
      <c r="O98" s="89">
        <f t="shared" si="26"/>
        <v>0</v>
      </c>
      <c r="P98" s="89">
        <f>IF(OR(E98&lt;食数計算!$F$51,F98&lt;食数計算!$F$52),0,1)</f>
        <v>1</v>
      </c>
      <c r="Q98" s="89">
        <f t="shared" si="27"/>
        <v>0</v>
      </c>
      <c r="R98" s="90">
        <f t="shared" si="28"/>
        <v>0</v>
      </c>
    </row>
    <row r="99" spans="2:18" x14ac:dyDescent="0.15">
      <c r="B99" s="277"/>
      <c r="C99" s="212" t="s">
        <v>385</v>
      </c>
      <c r="D99" s="186">
        <v>105</v>
      </c>
      <c r="E99" s="187">
        <v>170</v>
      </c>
      <c r="F99" s="188">
        <f t="shared" si="22"/>
        <v>56.4</v>
      </c>
      <c r="G99" s="189">
        <v>1</v>
      </c>
      <c r="H99" s="189">
        <v>1</v>
      </c>
      <c r="I99" s="190">
        <v>2</v>
      </c>
      <c r="J99" s="189">
        <v>10</v>
      </c>
      <c r="K99" s="87">
        <f t="shared" si="23"/>
        <v>0</v>
      </c>
      <c r="L99" s="87">
        <f ca="1">IF(OR(E99&lt;面積計算!$F$54,F99&lt;面積計算!$F$55),0,1)</f>
        <v>1</v>
      </c>
      <c r="M99" s="87">
        <f t="shared" ca="1" si="24"/>
        <v>0</v>
      </c>
      <c r="N99" s="88">
        <f t="shared" ca="1" si="25"/>
        <v>0</v>
      </c>
      <c r="O99" s="89">
        <f t="shared" si="26"/>
        <v>0</v>
      </c>
      <c r="P99" s="89">
        <f>IF(OR(E99&lt;食数計算!$F$51,F99&lt;食数計算!$F$52),0,1)</f>
        <v>1</v>
      </c>
      <c r="Q99" s="89">
        <f t="shared" si="27"/>
        <v>0</v>
      </c>
      <c r="R99" s="90">
        <f t="shared" si="28"/>
        <v>0</v>
      </c>
    </row>
    <row r="100" spans="2:18" x14ac:dyDescent="0.15">
      <c r="B100" s="278"/>
      <c r="C100" s="212" t="s">
        <v>386</v>
      </c>
      <c r="D100" s="186">
        <v>126</v>
      </c>
      <c r="E100" s="187">
        <v>200</v>
      </c>
      <c r="F100" s="188">
        <f t="shared" si="22"/>
        <v>66.400000000000006</v>
      </c>
      <c r="G100" s="189">
        <v>1</v>
      </c>
      <c r="H100" s="189">
        <v>1</v>
      </c>
      <c r="I100" s="190">
        <v>2</v>
      </c>
      <c r="J100" s="189">
        <v>10</v>
      </c>
      <c r="K100" s="87">
        <f t="shared" si="23"/>
        <v>0</v>
      </c>
      <c r="L100" s="87">
        <f ca="1">IF(OR(E100&lt;面積計算!$F$54,F100&lt;面積計算!$F$55),0,1)</f>
        <v>1</v>
      </c>
      <c r="M100" s="87">
        <f t="shared" ca="1" si="24"/>
        <v>0</v>
      </c>
      <c r="N100" s="88">
        <f t="shared" ca="1" si="25"/>
        <v>0</v>
      </c>
      <c r="O100" s="89">
        <f t="shared" si="26"/>
        <v>0</v>
      </c>
      <c r="P100" s="89">
        <f>IF(OR(E100&lt;食数計算!$F$51,F100&lt;食数計算!$F$52),0,1)</f>
        <v>1</v>
      </c>
      <c r="Q100" s="89">
        <f t="shared" si="27"/>
        <v>0</v>
      </c>
      <c r="R100" s="90">
        <f t="shared" si="28"/>
        <v>0</v>
      </c>
    </row>
    <row r="101" spans="2:18" x14ac:dyDescent="0.15">
      <c r="B101" s="285"/>
      <c r="C101" s="213" t="s">
        <v>366</v>
      </c>
      <c r="D101" s="193">
        <v>33</v>
      </c>
      <c r="E101" s="194">
        <v>22.5</v>
      </c>
      <c r="F101" s="195">
        <f t="shared" si="22"/>
        <v>7.4</v>
      </c>
      <c r="G101" s="196">
        <v>1</v>
      </c>
      <c r="H101" s="196">
        <v>2</v>
      </c>
      <c r="I101" s="197">
        <v>1</v>
      </c>
      <c r="J101" s="196">
        <v>10</v>
      </c>
      <c r="K101" s="87">
        <f t="shared" si="23"/>
        <v>0</v>
      </c>
      <c r="L101" s="87">
        <f ca="1">IF(OR(E101&lt;面積計算!$F$54,F101&lt;面積計算!$F$55),0,1)</f>
        <v>0</v>
      </c>
      <c r="M101" s="87">
        <f t="shared" ca="1" si="24"/>
        <v>0</v>
      </c>
      <c r="N101" s="88">
        <f t="shared" ca="1" si="25"/>
        <v>0</v>
      </c>
      <c r="O101" s="89">
        <f t="shared" si="26"/>
        <v>0</v>
      </c>
      <c r="P101" s="89">
        <f>IF(OR(E101&lt;食数計算!$F$51,F101&lt;食数計算!$F$52),0,1)</f>
        <v>1</v>
      </c>
      <c r="Q101" s="89">
        <f t="shared" si="27"/>
        <v>0</v>
      </c>
      <c r="R101" s="90">
        <f t="shared" si="28"/>
        <v>0</v>
      </c>
    </row>
    <row r="102" spans="2:18" x14ac:dyDescent="0.15">
      <c r="B102" s="286"/>
      <c r="C102" s="213" t="s">
        <v>367</v>
      </c>
      <c r="D102" s="193">
        <v>33</v>
      </c>
      <c r="E102" s="194">
        <v>44</v>
      </c>
      <c r="F102" s="195">
        <f t="shared" si="22"/>
        <v>14.6</v>
      </c>
      <c r="G102" s="196">
        <v>1</v>
      </c>
      <c r="H102" s="196">
        <v>2</v>
      </c>
      <c r="I102" s="197">
        <v>1</v>
      </c>
      <c r="J102" s="196">
        <v>10</v>
      </c>
      <c r="K102" s="87">
        <f t="shared" si="23"/>
        <v>0</v>
      </c>
      <c r="L102" s="87">
        <f ca="1">IF(OR(E102&lt;面積計算!$F$54,F102&lt;面積計算!$F$55),0,1)</f>
        <v>0</v>
      </c>
      <c r="M102" s="87">
        <f t="shared" ca="1" si="24"/>
        <v>0</v>
      </c>
      <c r="N102" s="88">
        <f t="shared" ca="1" si="25"/>
        <v>0</v>
      </c>
      <c r="O102" s="89">
        <f t="shared" si="26"/>
        <v>0</v>
      </c>
      <c r="P102" s="89">
        <f>IF(OR(E102&lt;食数計算!$F$51,F102&lt;食数計算!$F$52),0,1)</f>
        <v>1</v>
      </c>
      <c r="Q102" s="89">
        <f t="shared" si="27"/>
        <v>0</v>
      </c>
      <c r="R102" s="90">
        <f t="shared" si="28"/>
        <v>0</v>
      </c>
    </row>
    <row r="103" spans="2:18" x14ac:dyDescent="0.15">
      <c r="B103" s="286"/>
      <c r="C103" s="213" t="s">
        <v>368</v>
      </c>
      <c r="D103" s="193">
        <v>43</v>
      </c>
      <c r="E103" s="194">
        <v>55</v>
      </c>
      <c r="F103" s="195">
        <f t="shared" si="22"/>
        <v>18.2</v>
      </c>
      <c r="G103" s="196">
        <v>1</v>
      </c>
      <c r="H103" s="196">
        <v>2</v>
      </c>
      <c r="I103" s="197">
        <v>1</v>
      </c>
      <c r="J103" s="196">
        <v>10</v>
      </c>
      <c r="K103" s="87">
        <f t="shared" si="23"/>
        <v>0</v>
      </c>
      <c r="L103" s="87">
        <f ca="1">IF(OR(E103&lt;面積計算!$F$54,F103&lt;面積計算!$F$55),0,1)</f>
        <v>0</v>
      </c>
      <c r="M103" s="87">
        <f t="shared" ca="1" si="24"/>
        <v>0</v>
      </c>
      <c r="N103" s="88">
        <f t="shared" ca="1" si="25"/>
        <v>0</v>
      </c>
      <c r="O103" s="89">
        <f t="shared" si="26"/>
        <v>0</v>
      </c>
      <c r="P103" s="89">
        <f>IF(OR(E103&lt;食数計算!$F$51,F103&lt;食数計算!$F$52),0,1)</f>
        <v>1</v>
      </c>
      <c r="Q103" s="89">
        <f t="shared" si="27"/>
        <v>0</v>
      </c>
      <c r="R103" s="90">
        <f t="shared" si="28"/>
        <v>0</v>
      </c>
    </row>
    <row r="104" spans="2:18" x14ac:dyDescent="0.15">
      <c r="B104" s="286"/>
      <c r="C104" s="213" t="s">
        <v>369</v>
      </c>
      <c r="D104" s="193">
        <v>51</v>
      </c>
      <c r="E104" s="194">
        <v>74</v>
      </c>
      <c r="F104" s="195">
        <f t="shared" si="22"/>
        <v>24.5</v>
      </c>
      <c r="G104" s="196">
        <v>1</v>
      </c>
      <c r="H104" s="196">
        <v>2</v>
      </c>
      <c r="I104" s="197">
        <v>1</v>
      </c>
      <c r="J104" s="196">
        <v>10</v>
      </c>
      <c r="K104" s="87">
        <f t="shared" si="23"/>
        <v>0</v>
      </c>
      <c r="L104" s="87">
        <f ca="1">IF(OR(E104&lt;面積計算!$F$54,F104&lt;面積計算!$F$55),0,1)</f>
        <v>0</v>
      </c>
      <c r="M104" s="87">
        <f t="shared" ca="1" si="24"/>
        <v>0</v>
      </c>
      <c r="N104" s="88">
        <f t="shared" ca="1" si="25"/>
        <v>0</v>
      </c>
      <c r="O104" s="89">
        <f t="shared" si="26"/>
        <v>0</v>
      </c>
      <c r="P104" s="89">
        <f>IF(OR(E104&lt;食数計算!$F$51,F104&lt;食数計算!$F$52),0,1)</f>
        <v>1</v>
      </c>
      <c r="Q104" s="89">
        <f t="shared" si="27"/>
        <v>0</v>
      </c>
      <c r="R104" s="90">
        <f t="shared" si="28"/>
        <v>0</v>
      </c>
    </row>
    <row r="105" spans="2:18" x14ac:dyDescent="0.15">
      <c r="B105" s="286"/>
      <c r="C105" s="213" t="s">
        <v>370</v>
      </c>
      <c r="D105" s="193">
        <v>78</v>
      </c>
      <c r="E105" s="194">
        <v>100</v>
      </c>
      <c r="F105" s="195">
        <f t="shared" si="22"/>
        <v>33.200000000000003</v>
      </c>
      <c r="G105" s="196">
        <v>1</v>
      </c>
      <c r="H105" s="196">
        <v>2</v>
      </c>
      <c r="I105" s="197">
        <v>1</v>
      </c>
      <c r="J105" s="196">
        <v>10</v>
      </c>
      <c r="K105" s="87">
        <f t="shared" si="23"/>
        <v>0</v>
      </c>
      <c r="L105" s="87">
        <f ca="1">IF(OR(E105&lt;面積計算!$F$54,F105&lt;面積計算!$F$55),0,1)</f>
        <v>1</v>
      </c>
      <c r="M105" s="87">
        <f t="shared" ca="1" si="24"/>
        <v>0</v>
      </c>
      <c r="N105" s="88">
        <f t="shared" ca="1" si="25"/>
        <v>0</v>
      </c>
      <c r="O105" s="89">
        <f t="shared" si="26"/>
        <v>0</v>
      </c>
      <c r="P105" s="89">
        <f>IF(OR(E105&lt;食数計算!$F$51,F105&lt;食数計算!$F$52),0,1)</f>
        <v>1</v>
      </c>
      <c r="Q105" s="89">
        <f t="shared" si="27"/>
        <v>0</v>
      </c>
      <c r="R105" s="90">
        <f t="shared" si="28"/>
        <v>0</v>
      </c>
    </row>
    <row r="106" spans="2:18" x14ac:dyDescent="0.15">
      <c r="B106" s="287"/>
      <c r="C106" s="213" t="s">
        <v>371</v>
      </c>
      <c r="D106" s="193">
        <v>97</v>
      </c>
      <c r="E106" s="194">
        <v>150</v>
      </c>
      <c r="F106" s="195">
        <f t="shared" si="22"/>
        <v>49.8</v>
      </c>
      <c r="G106" s="196">
        <v>1</v>
      </c>
      <c r="H106" s="196">
        <v>2</v>
      </c>
      <c r="I106" s="197">
        <v>1</v>
      </c>
      <c r="J106" s="196">
        <v>10</v>
      </c>
      <c r="K106" s="87">
        <f t="shared" si="23"/>
        <v>0</v>
      </c>
      <c r="L106" s="87">
        <f ca="1">IF(OR(E106&lt;面積計算!$F$54,F106&lt;面積計算!$F$55),0,1)</f>
        <v>1</v>
      </c>
      <c r="M106" s="87">
        <f t="shared" ca="1" si="24"/>
        <v>0</v>
      </c>
      <c r="N106" s="88">
        <f t="shared" ca="1" si="25"/>
        <v>0</v>
      </c>
      <c r="O106" s="89">
        <f t="shared" si="26"/>
        <v>0</v>
      </c>
      <c r="P106" s="89">
        <f>IF(OR(E106&lt;食数計算!$F$51,F106&lt;食数計算!$F$52),0,1)</f>
        <v>1</v>
      </c>
      <c r="Q106" s="89">
        <f t="shared" si="27"/>
        <v>0</v>
      </c>
      <c r="R106" s="90">
        <f t="shared" si="28"/>
        <v>0</v>
      </c>
    </row>
    <row r="107" spans="2:18" x14ac:dyDescent="0.15">
      <c r="B107" s="285"/>
      <c r="C107" s="213" t="s">
        <v>387</v>
      </c>
      <c r="D107" s="193">
        <v>33</v>
      </c>
      <c r="E107" s="194">
        <v>22.5</v>
      </c>
      <c r="F107" s="195">
        <f t="shared" ref="F107:F112" si="43">ROUNDDOWN(E107*0.332,1)</f>
        <v>7.4</v>
      </c>
      <c r="G107" s="196">
        <v>1</v>
      </c>
      <c r="H107" s="196">
        <v>2</v>
      </c>
      <c r="I107" s="197">
        <v>2</v>
      </c>
      <c r="J107" s="196">
        <v>10</v>
      </c>
      <c r="K107" s="87">
        <f t="shared" ref="K107:K135" si="44">IF(AND(H107=$H$4,I107=$I$4,J107=$J$4),1,0)</f>
        <v>0</v>
      </c>
      <c r="L107" s="87">
        <f ca="1">IF(OR(E107&lt;面積計算!$F$54,F107&lt;面積計算!$F$55),0,1)</f>
        <v>0</v>
      </c>
      <c r="M107" s="87">
        <f t="shared" ref="M107:M135" ca="1" si="45">K107*L107</f>
        <v>0</v>
      </c>
      <c r="N107" s="88">
        <f t="shared" ref="N107:N135" ca="1" si="46">M107/E107*10000</f>
        <v>0</v>
      </c>
      <c r="O107" s="89">
        <f t="shared" ref="O107:O135" si="47">IF(AND(H107=$H$3,I107=$I$3,J107=$J$3),1,0)</f>
        <v>0</v>
      </c>
      <c r="P107" s="89">
        <f>IF(OR(E107&lt;食数計算!$F$51,F107&lt;食数計算!$F$52),0,1)</f>
        <v>1</v>
      </c>
      <c r="Q107" s="89">
        <f t="shared" ref="Q107:Q135" si="48">O107*P107</f>
        <v>0</v>
      </c>
      <c r="R107" s="90">
        <f t="shared" ref="R107:R135" si="49">Q107/E107*10000</f>
        <v>0</v>
      </c>
    </row>
    <row r="108" spans="2:18" x14ac:dyDescent="0.15">
      <c r="B108" s="286"/>
      <c r="C108" s="213" t="s">
        <v>388</v>
      </c>
      <c r="D108" s="193">
        <v>33</v>
      </c>
      <c r="E108" s="194">
        <v>44</v>
      </c>
      <c r="F108" s="195">
        <f t="shared" si="43"/>
        <v>14.6</v>
      </c>
      <c r="G108" s="196">
        <v>1</v>
      </c>
      <c r="H108" s="196">
        <v>2</v>
      </c>
      <c r="I108" s="197">
        <v>2</v>
      </c>
      <c r="J108" s="196">
        <v>10</v>
      </c>
      <c r="K108" s="87">
        <f t="shared" si="44"/>
        <v>0</v>
      </c>
      <c r="L108" s="87">
        <f ca="1">IF(OR(E108&lt;面積計算!$F$54,F108&lt;面積計算!$F$55),0,1)</f>
        <v>0</v>
      </c>
      <c r="M108" s="87">
        <f t="shared" ca="1" si="45"/>
        <v>0</v>
      </c>
      <c r="N108" s="88">
        <f t="shared" ca="1" si="46"/>
        <v>0</v>
      </c>
      <c r="O108" s="89">
        <f t="shared" si="47"/>
        <v>0</v>
      </c>
      <c r="P108" s="89">
        <f>IF(OR(E108&lt;食数計算!$F$51,F108&lt;食数計算!$F$52),0,1)</f>
        <v>1</v>
      </c>
      <c r="Q108" s="89">
        <f t="shared" si="48"/>
        <v>0</v>
      </c>
      <c r="R108" s="90">
        <f t="shared" si="49"/>
        <v>0</v>
      </c>
    </row>
    <row r="109" spans="2:18" x14ac:dyDescent="0.15">
      <c r="B109" s="286"/>
      <c r="C109" s="213" t="s">
        <v>389</v>
      </c>
      <c r="D109" s="193">
        <v>43</v>
      </c>
      <c r="E109" s="194">
        <v>55</v>
      </c>
      <c r="F109" s="195">
        <f t="shared" si="43"/>
        <v>18.2</v>
      </c>
      <c r="G109" s="196">
        <v>1</v>
      </c>
      <c r="H109" s="196">
        <v>2</v>
      </c>
      <c r="I109" s="197">
        <v>2</v>
      </c>
      <c r="J109" s="196">
        <v>10</v>
      </c>
      <c r="K109" s="87">
        <f t="shared" si="44"/>
        <v>0</v>
      </c>
      <c r="L109" s="87">
        <f ca="1">IF(OR(E109&lt;面積計算!$F$54,F109&lt;面積計算!$F$55),0,1)</f>
        <v>0</v>
      </c>
      <c r="M109" s="87">
        <f t="shared" ca="1" si="45"/>
        <v>0</v>
      </c>
      <c r="N109" s="88">
        <f t="shared" ca="1" si="46"/>
        <v>0</v>
      </c>
      <c r="O109" s="89">
        <f t="shared" si="47"/>
        <v>0</v>
      </c>
      <c r="P109" s="89">
        <f>IF(OR(E109&lt;食数計算!$F$51,F109&lt;食数計算!$F$52),0,1)</f>
        <v>1</v>
      </c>
      <c r="Q109" s="89">
        <f t="shared" si="48"/>
        <v>0</v>
      </c>
      <c r="R109" s="90">
        <f t="shared" si="49"/>
        <v>0</v>
      </c>
    </row>
    <row r="110" spans="2:18" x14ac:dyDescent="0.15">
      <c r="B110" s="286"/>
      <c r="C110" s="213" t="s">
        <v>390</v>
      </c>
      <c r="D110" s="193">
        <v>51</v>
      </c>
      <c r="E110" s="194">
        <v>74</v>
      </c>
      <c r="F110" s="195">
        <f t="shared" si="43"/>
        <v>24.5</v>
      </c>
      <c r="G110" s="196">
        <v>1</v>
      </c>
      <c r="H110" s="196">
        <v>2</v>
      </c>
      <c r="I110" s="197">
        <v>2</v>
      </c>
      <c r="J110" s="196">
        <v>10</v>
      </c>
      <c r="K110" s="87">
        <f t="shared" si="44"/>
        <v>0</v>
      </c>
      <c r="L110" s="87">
        <f ca="1">IF(OR(E110&lt;面積計算!$F$54,F110&lt;面積計算!$F$55),0,1)</f>
        <v>0</v>
      </c>
      <c r="M110" s="87">
        <f t="shared" ca="1" si="45"/>
        <v>0</v>
      </c>
      <c r="N110" s="88">
        <f t="shared" ca="1" si="46"/>
        <v>0</v>
      </c>
      <c r="O110" s="89">
        <f t="shared" si="47"/>
        <v>0</v>
      </c>
      <c r="P110" s="89">
        <f>IF(OR(E110&lt;食数計算!$F$51,F110&lt;食数計算!$F$52),0,1)</f>
        <v>1</v>
      </c>
      <c r="Q110" s="89">
        <f t="shared" si="48"/>
        <v>0</v>
      </c>
      <c r="R110" s="90">
        <f t="shared" si="49"/>
        <v>0</v>
      </c>
    </row>
    <row r="111" spans="2:18" x14ac:dyDescent="0.15">
      <c r="B111" s="286"/>
      <c r="C111" s="213" t="s">
        <v>391</v>
      </c>
      <c r="D111" s="193">
        <v>78</v>
      </c>
      <c r="E111" s="194">
        <v>100</v>
      </c>
      <c r="F111" s="195">
        <f t="shared" si="43"/>
        <v>33.200000000000003</v>
      </c>
      <c r="G111" s="196">
        <v>1</v>
      </c>
      <c r="H111" s="196">
        <v>2</v>
      </c>
      <c r="I111" s="197">
        <v>2</v>
      </c>
      <c r="J111" s="196">
        <v>10</v>
      </c>
      <c r="K111" s="87">
        <f t="shared" si="44"/>
        <v>0</v>
      </c>
      <c r="L111" s="87">
        <f ca="1">IF(OR(E111&lt;面積計算!$F$54,F111&lt;面積計算!$F$55),0,1)</f>
        <v>1</v>
      </c>
      <c r="M111" s="87">
        <f t="shared" ca="1" si="45"/>
        <v>0</v>
      </c>
      <c r="N111" s="88">
        <f t="shared" ca="1" si="46"/>
        <v>0</v>
      </c>
      <c r="O111" s="89">
        <f t="shared" si="47"/>
        <v>0</v>
      </c>
      <c r="P111" s="89">
        <f>IF(OR(E111&lt;食数計算!$F$51,F111&lt;食数計算!$F$52),0,1)</f>
        <v>1</v>
      </c>
      <c r="Q111" s="89">
        <f t="shared" si="48"/>
        <v>0</v>
      </c>
      <c r="R111" s="90">
        <f t="shared" si="49"/>
        <v>0</v>
      </c>
    </row>
    <row r="112" spans="2:18" x14ac:dyDescent="0.15">
      <c r="B112" s="287"/>
      <c r="C112" s="213" t="s">
        <v>392</v>
      </c>
      <c r="D112" s="193">
        <v>97</v>
      </c>
      <c r="E112" s="194">
        <v>150</v>
      </c>
      <c r="F112" s="195">
        <f t="shared" si="43"/>
        <v>49.8</v>
      </c>
      <c r="G112" s="196">
        <v>1</v>
      </c>
      <c r="H112" s="196">
        <v>2</v>
      </c>
      <c r="I112" s="197">
        <v>2</v>
      </c>
      <c r="J112" s="196">
        <v>10</v>
      </c>
      <c r="K112" s="87">
        <f t="shared" si="44"/>
        <v>0</v>
      </c>
      <c r="L112" s="87">
        <f ca="1">IF(OR(E112&lt;面積計算!$F$54,F112&lt;面積計算!$F$55),0,1)</f>
        <v>1</v>
      </c>
      <c r="M112" s="87">
        <f t="shared" ca="1" si="45"/>
        <v>0</v>
      </c>
      <c r="N112" s="88">
        <f t="shared" ca="1" si="46"/>
        <v>0</v>
      </c>
      <c r="O112" s="89">
        <f t="shared" si="47"/>
        <v>0</v>
      </c>
      <c r="P112" s="89">
        <f>IF(OR(E112&lt;食数計算!$F$51,F112&lt;食数計算!$F$52),0,1)</f>
        <v>1</v>
      </c>
      <c r="Q112" s="89">
        <f t="shared" si="48"/>
        <v>0</v>
      </c>
      <c r="R112" s="90">
        <f t="shared" si="49"/>
        <v>0</v>
      </c>
    </row>
    <row r="113" spans="2:18" x14ac:dyDescent="0.15">
      <c r="B113" s="203"/>
      <c r="C113" s="204" t="s">
        <v>458</v>
      </c>
      <c r="D113" s="186">
        <v>35</v>
      </c>
      <c r="E113" s="187">
        <v>50</v>
      </c>
      <c r="F113" s="188">
        <f t="shared" ref="F113:F135" si="50">ROUNDDOWN(E113*0.332,1)</f>
        <v>16.600000000000001</v>
      </c>
      <c r="G113" s="189">
        <v>1</v>
      </c>
      <c r="H113" s="189">
        <v>1</v>
      </c>
      <c r="I113" s="190">
        <v>2</v>
      </c>
      <c r="J113" s="189">
        <v>6</v>
      </c>
      <c r="K113" s="87">
        <f t="shared" si="44"/>
        <v>0</v>
      </c>
      <c r="L113" s="87">
        <f ca="1">IF(OR(E113&lt;面積計算!$F$54,F113&lt;面積計算!$F$55),0,1)</f>
        <v>0</v>
      </c>
      <c r="M113" s="87">
        <f t="shared" ca="1" si="45"/>
        <v>0</v>
      </c>
      <c r="N113" s="88">
        <f t="shared" ca="1" si="46"/>
        <v>0</v>
      </c>
      <c r="O113" s="89">
        <f t="shared" si="47"/>
        <v>0</v>
      </c>
      <c r="P113" s="89">
        <f>IF(OR(E113&lt;食数計算!$F$51,F113&lt;食数計算!$F$52),0,1)</f>
        <v>1</v>
      </c>
      <c r="Q113" s="89">
        <f t="shared" si="48"/>
        <v>0</v>
      </c>
      <c r="R113" s="90">
        <f t="shared" si="49"/>
        <v>0</v>
      </c>
    </row>
    <row r="114" spans="2:18" x14ac:dyDescent="0.15">
      <c r="B114" s="203"/>
      <c r="C114" s="204" t="s">
        <v>459</v>
      </c>
      <c r="D114" s="186">
        <v>67</v>
      </c>
      <c r="E114" s="187">
        <v>70</v>
      </c>
      <c r="F114" s="188">
        <f t="shared" si="50"/>
        <v>23.2</v>
      </c>
      <c r="G114" s="189">
        <v>1</v>
      </c>
      <c r="H114" s="189">
        <v>1</v>
      </c>
      <c r="I114" s="190">
        <v>2</v>
      </c>
      <c r="J114" s="189">
        <v>6</v>
      </c>
      <c r="K114" s="87">
        <f t="shared" si="44"/>
        <v>0</v>
      </c>
      <c r="L114" s="87">
        <f ca="1">IF(OR(E114&lt;面積計算!$F$54,F114&lt;面積計算!$F$55),0,1)</f>
        <v>0</v>
      </c>
      <c r="M114" s="87">
        <f t="shared" ca="1" si="45"/>
        <v>0</v>
      </c>
      <c r="N114" s="88">
        <f t="shared" ca="1" si="46"/>
        <v>0</v>
      </c>
      <c r="O114" s="89">
        <f t="shared" si="47"/>
        <v>0</v>
      </c>
      <c r="P114" s="89">
        <f>IF(OR(E114&lt;食数計算!$F$51,F114&lt;食数計算!$F$52),0,1)</f>
        <v>1</v>
      </c>
      <c r="Q114" s="89">
        <f t="shared" si="48"/>
        <v>0</v>
      </c>
      <c r="R114" s="90">
        <f t="shared" si="49"/>
        <v>0</v>
      </c>
    </row>
    <row r="115" spans="2:18" x14ac:dyDescent="0.15">
      <c r="B115" s="203"/>
      <c r="C115" s="204" t="s">
        <v>460</v>
      </c>
      <c r="D115" s="186">
        <v>84</v>
      </c>
      <c r="E115" s="187">
        <v>120</v>
      </c>
      <c r="F115" s="188">
        <f t="shared" si="50"/>
        <v>39.799999999999997</v>
      </c>
      <c r="G115" s="189">
        <v>1</v>
      </c>
      <c r="H115" s="189">
        <v>1</v>
      </c>
      <c r="I115" s="190">
        <v>2</v>
      </c>
      <c r="J115" s="189">
        <v>6</v>
      </c>
      <c r="K115" s="87">
        <f t="shared" si="44"/>
        <v>0</v>
      </c>
      <c r="L115" s="87">
        <f ca="1">IF(OR(E115&lt;面積計算!$F$54,F115&lt;面積計算!$F$55),0,1)</f>
        <v>1</v>
      </c>
      <c r="M115" s="87">
        <f t="shared" ca="1" si="45"/>
        <v>0</v>
      </c>
      <c r="N115" s="88">
        <f t="shared" ca="1" si="46"/>
        <v>0</v>
      </c>
      <c r="O115" s="89">
        <f t="shared" si="47"/>
        <v>0</v>
      </c>
      <c r="P115" s="89">
        <f>IF(OR(E115&lt;食数計算!$F$51,F115&lt;食数計算!$F$52),0,1)</f>
        <v>1</v>
      </c>
      <c r="Q115" s="89">
        <f t="shared" si="48"/>
        <v>0</v>
      </c>
      <c r="R115" s="90">
        <f t="shared" si="49"/>
        <v>0</v>
      </c>
    </row>
    <row r="116" spans="2:18" x14ac:dyDescent="0.15">
      <c r="B116" s="203"/>
      <c r="C116" s="204" t="s">
        <v>461</v>
      </c>
      <c r="D116" s="186">
        <v>106</v>
      </c>
      <c r="E116" s="187">
        <v>150</v>
      </c>
      <c r="F116" s="188">
        <f t="shared" si="50"/>
        <v>49.8</v>
      </c>
      <c r="G116" s="189">
        <v>1</v>
      </c>
      <c r="H116" s="189">
        <v>1</v>
      </c>
      <c r="I116" s="190">
        <v>2</v>
      </c>
      <c r="J116" s="189">
        <v>6</v>
      </c>
      <c r="K116" s="87">
        <f t="shared" si="44"/>
        <v>0</v>
      </c>
      <c r="L116" s="87">
        <f ca="1">IF(OR(E116&lt;面積計算!$F$54,F116&lt;面積計算!$F$55),0,1)</f>
        <v>1</v>
      </c>
      <c r="M116" s="87">
        <f t="shared" ca="1" si="45"/>
        <v>0</v>
      </c>
      <c r="N116" s="88">
        <f t="shared" ca="1" si="46"/>
        <v>0</v>
      </c>
      <c r="O116" s="89">
        <f t="shared" si="47"/>
        <v>0</v>
      </c>
      <c r="P116" s="89">
        <f>IF(OR(E116&lt;食数計算!$F$51,F116&lt;食数計算!$F$52),0,1)</f>
        <v>1</v>
      </c>
      <c r="Q116" s="89">
        <f t="shared" si="48"/>
        <v>0</v>
      </c>
      <c r="R116" s="90">
        <f t="shared" si="49"/>
        <v>0</v>
      </c>
    </row>
    <row r="117" spans="2:18" x14ac:dyDescent="0.15">
      <c r="B117" s="203"/>
      <c r="C117" s="204" t="s">
        <v>462</v>
      </c>
      <c r="D117" s="186">
        <v>134</v>
      </c>
      <c r="E117" s="187">
        <v>200</v>
      </c>
      <c r="F117" s="188">
        <f t="shared" si="50"/>
        <v>66.400000000000006</v>
      </c>
      <c r="G117" s="189">
        <v>1</v>
      </c>
      <c r="H117" s="189">
        <v>1</v>
      </c>
      <c r="I117" s="190">
        <v>2</v>
      </c>
      <c r="J117" s="189">
        <v>6</v>
      </c>
      <c r="K117" s="87">
        <f t="shared" si="44"/>
        <v>0</v>
      </c>
      <c r="L117" s="87">
        <f ca="1">IF(OR(E117&lt;面積計算!$F$54,F117&lt;面積計算!$F$55),0,1)</f>
        <v>1</v>
      </c>
      <c r="M117" s="87">
        <f t="shared" ca="1" si="45"/>
        <v>0</v>
      </c>
      <c r="N117" s="88">
        <f t="shared" ca="1" si="46"/>
        <v>0</v>
      </c>
      <c r="O117" s="89">
        <f t="shared" si="47"/>
        <v>0</v>
      </c>
      <c r="P117" s="89">
        <f>IF(OR(E117&lt;食数計算!$F$51,F117&lt;食数計算!$F$52),0,1)</f>
        <v>1</v>
      </c>
      <c r="Q117" s="89">
        <f t="shared" si="48"/>
        <v>0</v>
      </c>
      <c r="R117" s="90">
        <f t="shared" si="49"/>
        <v>0</v>
      </c>
    </row>
    <row r="118" spans="2:18" x14ac:dyDescent="0.15">
      <c r="B118" s="203"/>
      <c r="C118" s="204" t="s">
        <v>463</v>
      </c>
      <c r="D118" s="186">
        <v>189</v>
      </c>
      <c r="E118" s="187">
        <v>250</v>
      </c>
      <c r="F118" s="188">
        <f t="shared" si="50"/>
        <v>83</v>
      </c>
      <c r="G118" s="189">
        <v>1</v>
      </c>
      <c r="H118" s="189">
        <v>1</v>
      </c>
      <c r="I118" s="190">
        <v>2</v>
      </c>
      <c r="J118" s="189">
        <v>6</v>
      </c>
      <c r="K118" s="87">
        <f t="shared" si="44"/>
        <v>0</v>
      </c>
      <c r="L118" s="87">
        <f ca="1">IF(OR(E118&lt;面積計算!$F$54,F118&lt;面積計算!$F$55),0,1)</f>
        <v>1</v>
      </c>
      <c r="M118" s="87">
        <f t="shared" ca="1" si="45"/>
        <v>0</v>
      </c>
      <c r="N118" s="88">
        <f t="shared" ca="1" si="46"/>
        <v>0</v>
      </c>
      <c r="O118" s="89">
        <f t="shared" si="47"/>
        <v>0</v>
      </c>
      <c r="P118" s="89">
        <f>IF(OR(E118&lt;食数計算!$F$51,F118&lt;食数計算!$F$52),0,1)</f>
        <v>1</v>
      </c>
      <c r="Q118" s="89">
        <f t="shared" si="48"/>
        <v>0</v>
      </c>
      <c r="R118" s="90">
        <f t="shared" si="49"/>
        <v>0</v>
      </c>
    </row>
    <row r="119" spans="2:18" x14ac:dyDescent="0.15">
      <c r="B119" s="203"/>
      <c r="C119" s="204" t="s">
        <v>464</v>
      </c>
      <c r="D119" s="186">
        <v>221</v>
      </c>
      <c r="E119" s="187">
        <v>300</v>
      </c>
      <c r="F119" s="188">
        <f t="shared" si="50"/>
        <v>99.6</v>
      </c>
      <c r="G119" s="189">
        <v>1</v>
      </c>
      <c r="H119" s="189">
        <v>1</v>
      </c>
      <c r="I119" s="190">
        <v>2</v>
      </c>
      <c r="J119" s="189">
        <v>6</v>
      </c>
      <c r="K119" s="87">
        <f t="shared" si="44"/>
        <v>0</v>
      </c>
      <c r="L119" s="87">
        <f ca="1">IF(OR(E119&lt;面積計算!$F$54,F119&lt;面積計算!$F$55),0,1)</f>
        <v>1</v>
      </c>
      <c r="M119" s="87">
        <f t="shared" ca="1" si="45"/>
        <v>0</v>
      </c>
      <c r="N119" s="88">
        <f t="shared" ca="1" si="46"/>
        <v>0</v>
      </c>
      <c r="O119" s="89">
        <f t="shared" si="47"/>
        <v>0</v>
      </c>
      <c r="P119" s="89">
        <f>IF(OR(E119&lt;食数計算!$F$51,F119&lt;食数計算!$F$52),0,1)</f>
        <v>1</v>
      </c>
      <c r="Q119" s="89">
        <f t="shared" si="48"/>
        <v>0</v>
      </c>
      <c r="R119" s="90">
        <f t="shared" si="49"/>
        <v>0</v>
      </c>
    </row>
    <row r="120" spans="2:18" x14ac:dyDescent="0.15">
      <c r="B120" s="203"/>
      <c r="C120" s="204" t="s">
        <v>465</v>
      </c>
      <c r="D120" s="186">
        <v>286</v>
      </c>
      <c r="E120" s="187">
        <v>400</v>
      </c>
      <c r="F120" s="188">
        <f t="shared" si="50"/>
        <v>132.80000000000001</v>
      </c>
      <c r="G120" s="189">
        <v>1</v>
      </c>
      <c r="H120" s="189">
        <v>1</v>
      </c>
      <c r="I120" s="190">
        <v>2</v>
      </c>
      <c r="J120" s="189">
        <v>6</v>
      </c>
      <c r="K120" s="87">
        <f t="shared" si="44"/>
        <v>0</v>
      </c>
      <c r="L120" s="87">
        <f ca="1">IF(OR(E120&lt;面積計算!$F$54,F120&lt;面積計算!$F$55),0,1)</f>
        <v>1</v>
      </c>
      <c r="M120" s="87">
        <f t="shared" ca="1" si="45"/>
        <v>0</v>
      </c>
      <c r="N120" s="88">
        <f t="shared" ca="1" si="46"/>
        <v>0</v>
      </c>
      <c r="O120" s="89">
        <f t="shared" si="47"/>
        <v>0</v>
      </c>
      <c r="P120" s="89">
        <f>IF(OR(E120&lt;食数計算!$F$51,F120&lt;食数計算!$F$52),0,1)</f>
        <v>1</v>
      </c>
      <c r="Q120" s="89">
        <f t="shared" si="48"/>
        <v>0</v>
      </c>
      <c r="R120" s="90">
        <f t="shared" si="49"/>
        <v>0</v>
      </c>
    </row>
    <row r="121" spans="2:18" x14ac:dyDescent="0.15">
      <c r="B121" s="198"/>
      <c r="C121" s="212" t="s">
        <v>329</v>
      </c>
      <c r="D121" s="186">
        <v>35</v>
      </c>
      <c r="E121" s="187">
        <v>30</v>
      </c>
      <c r="F121" s="188">
        <f t="shared" si="50"/>
        <v>9.9</v>
      </c>
      <c r="G121" s="189">
        <v>1</v>
      </c>
      <c r="H121" s="189">
        <v>1</v>
      </c>
      <c r="I121" s="190">
        <v>2</v>
      </c>
      <c r="J121" s="189">
        <v>8</v>
      </c>
      <c r="K121" s="87">
        <f t="shared" si="44"/>
        <v>0</v>
      </c>
      <c r="L121" s="87">
        <f ca="1">IF(OR(E121&lt;面積計算!$F$54,F121&lt;面積計算!$F$55),0,1)</f>
        <v>0</v>
      </c>
      <c r="M121" s="87">
        <f t="shared" ca="1" si="45"/>
        <v>0</v>
      </c>
      <c r="N121" s="88">
        <f t="shared" ca="1" si="46"/>
        <v>0</v>
      </c>
      <c r="O121" s="89">
        <f t="shared" si="47"/>
        <v>0</v>
      </c>
      <c r="P121" s="89">
        <f>IF(OR(E121&lt;食数計算!$F$51,F121&lt;食数計算!$F$52),0,1)</f>
        <v>1</v>
      </c>
      <c r="Q121" s="89">
        <f t="shared" si="48"/>
        <v>0</v>
      </c>
      <c r="R121" s="90">
        <f t="shared" si="49"/>
        <v>0</v>
      </c>
    </row>
    <row r="122" spans="2:18" x14ac:dyDescent="0.15">
      <c r="B122" s="276"/>
      <c r="C122" s="212" t="s">
        <v>330</v>
      </c>
      <c r="D122" s="186">
        <v>36</v>
      </c>
      <c r="E122" s="187">
        <v>25</v>
      </c>
      <c r="F122" s="188">
        <f t="shared" si="50"/>
        <v>8.3000000000000007</v>
      </c>
      <c r="G122" s="189">
        <v>1</v>
      </c>
      <c r="H122" s="189">
        <v>1</v>
      </c>
      <c r="I122" s="190">
        <v>2</v>
      </c>
      <c r="J122" s="189">
        <v>9</v>
      </c>
      <c r="K122" s="87">
        <f t="shared" si="44"/>
        <v>0</v>
      </c>
      <c r="L122" s="87">
        <f ca="1">IF(OR(E122&lt;面積計算!$F$54,F122&lt;面積計算!$F$55),0,1)</f>
        <v>0</v>
      </c>
      <c r="M122" s="87">
        <f t="shared" ca="1" si="45"/>
        <v>0</v>
      </c>
      <c r="N122" s="88">
        <f t="shared" ca="1" si="46"/>
        <v>0</v>
      </c>
      <c r="O122" s="89">
        <f t="shared" si="47"/>
        <v>0</v>
      </c>
      <c r="P122" s="89">
        <f>IF(OR(E122&lt;食数計算!$F$51,F122&lt;食数計算!$F$52),0,1)</f>
        <v>1</v>
      </c>
      <c r="Q122" s="89">
        <f t="shared" si="48"/>
        <v>0</v>
      </c>
      <c r="R122" s="90">
        <f t="shared" si="49"/>
        <v>0</v>
      </c>
    </row>
    <row r="123" spans="2:18" x14ac:dyDescent="0.15">
      <c r="B123" s="277"/>
      <c r="C123" s="212" t="s">
        <v>331</v>
      </c>
      <c r="D123" s="186">
        <v>39</v>
      </c>
      <c r="E123" s="187">
        <v>50</v>
      </c>
      <c r="F123" s="188">
        <f t="shared" si="50"/>
        <v>16.600000000000001</v>
      </c>
      <c r="G123" s="189">
        <v>1</v>
      </c>
      <c r="H123" s="189">
        <v>1</v>
      </c>
      <c r="I123" s="190">
        <v>2</v>
      </c>
      <c r="J123" s="189">
        <v>9</v>
      </c>
      <c r="K123" s="87">
        <f t="shared" si="44"/>
        <v>0</v>
      </c>
      <c r="L123" s="87">
        <f ca="1">IF(OR(E123&lt;面積計算!$F$54,F123&lt;面積計算!$F$55),0,1)</f>
        <v>0</v>
      </c>
      <c r="M123" s="87">
        <f t="shared" ca="1" si="45"/>
        <v>0</v>
      </c>
      <c r="N123" s="88">
        <f t="shared" ca="1" si="46"/>
        <v>0</v>
      </c>
      <c r="O123" s="89">
        <f t="shared" si="47"/>
        <v>0</v>
      </c>
      <c r="P123" s="89">
        <f>IF(OR(E123&lt;食数計算!$F$51,F123&lt;食数計算!$F$52),0,1)</f>
        <v>1</v>
      </c>
      <c r="Q123" s="89">
        <f t="shared" si="48"/>
        <v>0</v>
      </c>
      <c r="R123" s="90">
        <f t="shared" si="49"/>
        <v>0</v>
      </c>
    </row>
    <row r="124" spans="2:18" x14ac:dyDescent="0.15">
      <c r="B124" s="277"/>
      <c r="C124" s="212" t="s">
        <v>332</v>
      </c>
      <c r="D124" s="186">
        <v>47</v>
      </c>
      <c r="E124" s="187">
        <v>60</v>
      </c>
      <c r="F124" s="188">
        <f t="shared" si="50"/>
        <v>19.899999999999999</v>
      </c>
      <c r="G124" s="189">
        <v>1</v>
      </c>
      <c r="H124" s="189">
        <v>1</v>
      </c>
      <c r="I124" s="190">
        <v>2</v>
      </c>
      <c r="J124" s="189">
        <v>9</v>
      </c>
      <c r="K124" s="87">
        <f t="shared" si="44"/>
        <v>0</v>
      </c>
      <c r="L124" s="87">
        <f ca="1">IF(OR(E124&lt;面積計算!$F$54,F124&lt;面積計算!$F$55),0,1)</f>
        <v>0</v>
      </c>
      <c r="M124" s="87">
        <f t="shared" ca="1" si="45"/>
        <v>0</v>
      </c>
      <c r="N124" s="88">
        <f t="shared" ca="1" si="46"/>
        <v>0</v>
      </c>
      <c r="O124" s="89">
        <f t="shared" si="47"/>
        <v>0</v>
      </c>
      <c r="P124" s="89">
        <f>IF(OR(E124&lt;食数計算!$F$51,F124&lt;食数計算!$F$52),0,1)</f>
        <v>1</v>
      </c>
      <c r="Q124" s="89">
        <f t="shared" si="48"/>
        <v>0</v>
      </c>
      <c r="R124" s="90">
        <f t="shared" si="49"/>
        <v>0</v>
      </c>
    </row>
    <row r="125" spans="2:18" x14ac:dyDescent="0.15">
      <c r="B125" s="277"/>
      <c r="C125" s="212" t="s">
        <v>333</v>
      </c>
      <c r="D125" s="186">
        <v>56</v>
      </c>
      <c r="E125" s="187">
        <v>70</v>
      </c>
      <c r="F125" s="188">
        <f t="shared" si="50"/>
        <v>23.2</v>
      </c>
      <c r="G125" s="189">
        <v>1</v>
      </c>
      <c r="H125" s="189">
        <v>1</v>
      </c>
      <c r="I125" s="190">
        <v>2</v>
      </c>
      <c r="J125" s="189">
        <v>9</v>
      </c>
      <c r="K125" s="87">
        <f t="shared" si="44"/>
        <v>0</v>
      </c>
      <c r="L125" s="87">
        <f ca="1">IF(OR(E125&lt;面積計算!$F$54,F125&lt;面積計算!$F$55),0,1)</f>
        <v>0</v>
      </c>
      <c r="M125" s="87">
        <f t="shared" ca="1" si="45"/>
        <v>0</v>
      </c>
      <c r="N125" s="88">
        <f t="shared" ca="1" si="46"/>
        <v>0</v>
      </c>
      <c r="O125" s="89">
        <f t="shared" si="47"/>
        <v>0</v>
      </c>
      <c r="P125" s="89">
        <f>IF(OR(E125&lt;食数計算!$F$51,F125&lt;食数計算!$F$52),0,1)</f>
        <v>1</v>
      </c>
      <c r="Q125" s="89">
        <f t="shared" si="48"/>
        <v>0</v>
      </c>
      <c r="R125" s="90">
        <f t="shared" si="49"/>
        <v>0</v>
      </c>
    </row>
    <row r="126" spans="2:18" x14ac:dyDescent="0.15">
      <c r="B126" s="277"/>
      <c r="C126" s="212" t="s">
        <v>334</v>
      </c>
      <c r="D126" s="186">
        <v>84</v>
      </c>
      <c r="E126" s="187">
        <v>100</v>
      </c>
      <c r="F126" s="188">
        <f t="shared" si="50"/>
        <v>33.200000000000003</v>
      </c>
      <c r="G126" s="189">
        <v>1</v>
      </c>
      <c r="H126" s="189">
        <v>1</v>
      </c>
      <c r="I126" s="190">
        <v>2</v>
      </c>
      <c r="J126" s="189">
        <v>9</v>
      </c>
      <c r="K126" s="87">
        <f t="shared" si="44"/>
        <v>0</v>
      </c>
      <c r="L126" s="87">
        <f ca="1">IF(OR(E126&lt;面積計算!$F$54,F126&lt;面積計算!$F$55),0,1)</f>
        <v>1</v>
      </c>
      <c r="M126" s="87">
        <f t="shared" ca="1" si="45"/>
        <v>0</v>
      </c>
      <c r="N126" s="88">
        <f t="shared" ca="1" si="46"/>
        <v>0</v>
      </c>
      <c r="O126" s="89">
        <f t="shared" si="47"/>
        <v>0</v>
      </c>
      <c r="P126" s="89">
        <f>IF(OR(E126&lt;食数計算!$F$51,F126&lt;食数計算!$F$52),0,1)</f>
        <v>1</v>
      </c>
      <c r="Q126" s="89">
        <f t="shared" si="48"/>
        <v>0</v>
      </c>
      <c r="R126" s="90">
        <f t="shared" si="49"/>
        <v>0</v>
      </c>
    </row>
    <row r="127" spans="2:18" ht="14.25" customHeight="1" x14ac:dyDescent="0.15">
      <c r="B127" s="277"/>
      <c r="C127" s="212" t="s">
        <v>335</v>
      </c>
      <c r="D127" s="186">
        <v>102</v>
      </c>
      <c r="E127" s="187">
        <v>150</v>
      </c>
      <c r="F127" s="188">
        <f t="shared" si="50"/>
        <v>49.8</v>
      </c>
      <c r="G127" s="189">
        <v>1</v>
      </c>
      <c r="H127" s="189">
        <v>1</v>
      </c>
      <c r="I127" s="190">
        <v>2</v>
      </c>
      <c r="J127" s="189">
        <v>9</v>
      </c>
      <c r="K127" s="87">
        <f t="shared" si="44"/>
        <v>0</v>
      </c>
      <c r="L127" s="87">
        <f ca="1">IF(OR(E127&lt;面積計算!$F$54,F127&lt;面積計算!$F$55),0,1)</f>
        <v>1</v>
      </c>
      <c r="M127" s="87">
        <f t="shared" ca="1" si="45"/>
        <v>0</v>
      </c>
      <c r="N127" s="88">
        <f t="shared" ca="1" si="46"/>
        <v>0</v>
      </c>
      <c r="O127" s="89">
        <f t="shared" si="47"/>
        <v>0</v>
      </c>
      <c r="P127" s="89">
        <f>IF(OR(E127&lt;食数計算!$F$51,F127&lt;食数計算!$F$52),0,1)</f>
        <v>1</v>
      </c>
      <c r="Q127" s="89">
        <f t="shared" si="48"/>
        <v>0</v>
      </c>
      <c r="R127" s="90">
        <f t="shared" si="49"/>
        <v>0</v>
      </c>
    </row>
    <row r="128" spans="2:18" x14ac:dyDescent="0.15">
      <c r="B128" s="277"/>
      <c r="C128" s="212" t="s">
        <v>336</v>
      </c>
      <c r="D128" s="186">
        <v>105</v>
      </c>
      <c r="E128" s="187">
        <v>170</v>
      </c>
      <c r="F128" s="188">
        <f t="shared" si="50"/>
        <v>56.4</v>
      </c>
      <c r="G128" s="189">
        <v>1</v>
      </c>
      <c r="H128" s="189">
        <v>1</v>
      </c>
      <c r="I128" s="190">
        <v>2</v>
      </c>
      <c r="J128" s="189">
        <v>9</v>
      </c>
      <c r="K128" s="87">
        <f t="shared" si="44"/>
        <v>0</v>
      </c>
      <c r="L128" s="87">
        <f ca="1">IF(OR(E128&lt;面積計算!$F$54,F128&lt;面積計算!$F$55),0,1)</f>
        <v>1</v>
      </c>
      <c r="M128" s="87">
        <f t="shared" ca="1" si="45"/>
        <v>0</v>
      </c>
      <c r="N128" s="88">
        <f t="shared" ca="1" si="46"/>
        <v>0</v>
      </c>
      <c r="O128" s="89">
        <f t="shared" si="47"/>
        <v>0</v>
      </c>
      <c r="P128" s="89">
        <f>IF(OR(E128&lt;食数計算!$F$51,F128&lt;食数計算!$F$52),0,1)</f>
        <v>1</v>
      </c>
      <c r="Q128" s="89">
        <f t="shared" si="48"/>
        <v>0</v>
      </c>
      <c r="R128" s="90">
        <f t="shared" si="49"/>
        <v>0</v>
      </c>
    </row>
    <row r="129" spans="2:18" x14ac:dyDescent="0.15">
      <c r="B129" s="278"/>
      <c r="C129" s="212" t="s">
        <v>337</v>
      </c>
      <c r="D129" s="186">
        <v>126</v>
      </c>
      <c r="E129" s="187">
        <v>200</v>
      </c>
      <c r="F129" s="188">
        <f t="shared" si="50"/>
        <v>66.400000000000006</v>
      </c>
      <c r="G129" s="189">
        <v>1</v>
      </c>
      <c r="H129" s="189">
        <v>1</v>
      </c>
      <c r="I129" s="190">
        <v>2</v>
      </c>
      <c r="J129" s="189">
        <v>9</v>
      </c>
      <c r="K129" s="87">
        <f t="shared" si="44"/>
        <v>0</v>
      </c>
      <c r="L129" s="87">
        <f ca="1">IF(OR(E129&lt;面積計算!$F$54,F129&lt;面積計算!$F$55),0,1)</f>
        <v>1</v>
      </c>
      <c r="M129" s="87">
        <f t="shared" ca="1" si="45"/>
        <v>0</v>
      </c>
      <c r="N129" s="88">
        <f t="shared" ca="1" si="46"/>
        <v>0</v>
      </c>
      <c r="O129" s="89">
        <f t="shared" si="47"/>
        <v>0</v>
      </c>
      <c r="P129" s="89">
        <f>IF(OR(E129&lt;食数計算!$F$51,F129&lt;食数計算!$F$52),0,1)</f>
        <v>1</v>
      </c>
      <c r="Q129" s="89">
        <f t="shared" si="48"/>
        <v>0</v>
      </c>
      <c r="R129" s="90">
        <f t="shared" si="49"/>
        <v>0</v>
      </c>
    </row>
    <row r="130" spans="2:18" x14ac:dyDescent="0.15">
      <c r="B130" s="285"/>
      <c r="C130" s="213" t="s">
        <v>338</v>
      </c>
      <c r="D130" s="193">
        <v>33</v>
      </c>
      <c r="E130" s="194">
        <v>22.5</v>
      </c>
      <c r="F130" s="195">
        <f t="shared" si="50"/>
        <v>7.4</v>
      </c>
      <c r="G130" s="196">
        <v>1</v>
      </c>
      <c r="H130" s="196">
        <v>2</v>
      </c>
      <c r="I130" s="197">
        <v>2</v>
      </c>
      <c r="J130" s="196">
        <v>9</v>
      </c>
      <c r="K130" s="87">
        <f t="shared" si="44"/>
        <v>0</v>
      </c>
      <c r="L130" s="87">
        <f ca="1">IF(OR(E130&lt;面積計算!$F$54,F130&lt;面積計算!$F$55),0,1)</f>
        <v>0</v>
      </c>
      <c r="M130" s="87">
        <f t="shared" ca="1" si="45"/>
        <v>0</v>
      </c>
      <c r="N130" s="88">
        <f t="shared" ca="1" si="46"/>
        <v>0</v>
      </c>
      <c r="O130" s="89">
        <f t="shared" si="47"/>
        <v>0</v>
      </c>
      <c r="P130" s="89">
        <f>IF(OR(E130&lt;食数計算!$F$51,F130&lt;食数計算!$F$52),0,1)</f>
        <v>1</v>
      </c>
      <c r="Q130" s="89">
        <f t="shared" si="48"/>
        <v>0</v>
      </c>
      <c r="R130" s="90">
        <f t="shared" si="49"/>
        <v>0</v>
      </c>
    </row>
    <row r="131" spans="2:18" x14ac:dyDescent="0.15">
      <c r="B131" s="286"/>
      <c r="C131" s="213" t="s">
        <v>339</v>
      </c>
      <c r="D131" s="193">
        <v>33</v>
      </c>
      <c r="E131" s="194">
        <v>44</v>
      </c>
      <c r="F131" s="195">
        <f t="shared" si="50"/>
        <v>14.6</v>
      </c>
      <c r="G131" s="196">
        <v>1</v>
      </c>
      <c r="H131" s="196">
        <v>2</v>
      </c>
      <c r="I131" s="197">
        <v>2</v>
      </c>
      <c r="J131" s="196">
        <v>9</v>
      </c>
      <c r="K131" s="87">
        <f t="shared" si="44"/>
        <v>0</v>
      </c>
      <c r="L131" s="87">
        <f ca="1">IF(OR(E131&lt;面積計算!$F$54,F131&lt;面積計算!$F$55),0,1)</f>
        <v>0</v>
      </c>
      <c r="M131" s="87">
        <f t="shared" ca="1" si="45"/>
        <v>0</v>
      </c>
      <c r="N131" s="88">
        <f t="shared" ca="1" si="46"/>
        <v>0</v>
      </c>
      <c r="O131" s="89">
        <f t="shared" si="47"/>
        <v>0</v>
      </c>
      <c r="P131" s="89">
        <f>IF(OR(E131&lt;食数計算!$F$51,F131&lt;食数計算!$F$52),0,1)</f>
        <v>1</v>
      </c>
      <c r="Q131" s="89">
        <f t="shared" si="48"/>
        <v>0</v>
      </c>
      <c r="R131" s="90">
        <f t="shared" si="49"/>
        <v>0</v>
      </c>
    </row>
    <row r="132" spans="2:18" x14ac:dyDescent="0.15">
      <c r="B132" s="286"/>
      <c r="C132" s="213" t="s">
        <v>340</v>
      </c>
      <c r="D132" s="193">
        <v>43</v>
      </c>
      <c r="E132" s="194">
        <v>55</v>
      </c>
      <c r="F132" s="195">
        <f t="shared" si="50"/>
        <v>18.2</v>
      </c>
      <c r="G132" s="196">
        <v>1</v>
      </c>
      <c r="H132" s="196">
        <v>2</v>
      </c>
      <c r="I132" s="197">
        <v>2</v>
      </c>
      <c r="J132" s="196">
        <v>9</v>
      </c>
      <c r="K132" s="87">
        <f t="shared" si="44"/>
        <v>0</v>
      </c>
      <c r="L132" s="87">
        <f ca="1">IF(OR(E132&lt;面積計算!$F$54,F132&lt;面積計算!$F$55),0,1)</f>
        <v>0</v>
      </c>
      <c r="M132" s="87">
        <f t="shared" ca="1" si="45"/>
        <v>0</v>
      </c>
      <c r="N132" s="88">
        <f t="shared" ca="1" si="46"/>
        <v>0</v>
      </c>
      <c r="O132" s="89">
        <f t="shared" si="47"/>
        <v>0</v>
      </c>
      <c r="P132" s="89">
        <f>IF(OR(E132&lt;食数計算!$F$51,F132&lt;食数計算!$F$52),0,1)</f>
        <v>1</v>
      </c>
      <c r="Q132" s="89">
        <f t="shared" si="48"/>
        <v>0</v>
      </c>
      <c r="R132" s="90">
        <f t="shared" si="49"/>
        <v>0</v>
      </c>
    </row>
    <row r="133" spans="2:18" x14ac:dyDescent="0.15">
      <c r="B133" s="286"/>
      <c r="C133" s="213" t="s">
        <v>341</v>
      </c>
      <c r="D133" s="193">
        <v>51</v>
      </c>
      <c r="E133" s="194">
        <v>74</v>
      </c>
      <c r="F133" s="195">
        <f t="shared" si="50"/>
        <v>24.5</v>
      </c>
      <c r="G133" s="196">
        <v>1</v>
      </c>
      <c r="H133" s="196">
        <v>2</v>
      </c>
      <c r="I133" s="197">
        <v>2</v>
      </c>
      <c r="J133" s="196">
        <v>9</v>
      </c>
      <c r="K133" s="87">
        <f t="shared" si="44"/>
        <v>0</v>
      </c>
      <c r="L133" s="87">
        <f ca="1">IF(OR(E133&lt;面積計算!$F$54,F133&lt;面積計算!$F$55),0,1)</f>
        <v>0</v>
      </c>
      <c r="M133" s="87">
        <f t="shared" ca="1" si="45"/>
        <v>0</v>
      </c>
      <c r="N133" s="88">
        <f t="shared" ca="1" si="46"/>
        <v>0</v>
      </c>
      <c r="O133" s="89">
        <f t="shared" si="47"/>
        <v>0</v>
      </c>
      <c r="P133" s="89">
        <f>IF(OR(E133&lt;食数計算!$F$51,F133&lt;食数計算!$F$52),0,1)</f>
        <v>1</v>
      </c>
      <c r="Q133" s="89">
        <f t="shared" si="48"/>
        <v>0</v>
      </c>
      <c r="R133" s="90">
        <f t="shared" si="49"/>
        <v>0</v>
      </c>
    </row>
    <row r="134" spans="2:18" x14ac:dyDescent="0.15">
      <c r="B134" s="286"/>
      <c r="C134" s="213" t="s">
        <v>342</v>
      </c>
      <c r="D134" s="193">
        <v>78</v>
      </c>
      <c r="E134" s="194">
        <v>100</v>
      </c>
      <c r="F134" s="195">
        <f t="shared" si="50"/>
        <v>33.200000000000003</v>
      </c>
      <c r="G134" s="196">
        <v>1</v>
      </c>
      <c r="H134" s="196">
        <v>2</v>
      </c>
      <c r="I134" s="197">
        <v>2</v>
      </c>
      <c r="J134" s="196">
        <v>9</v>
      </c>
      <c r="K134" s="87">
        <f t="shared" si="44"/>
        <v>0</v>
      </c>
      <c r="L134" s="87">
        <f ca="1">IF(OR(E134&lt;面積計算!$F$54,F134&lt;面積計算!$F$55),0,1)</f>
        <v>1</v>
      </c>
      <c r="M134" s="87">
        <f t="shared" ca="1" si="45"/>
        <v>0</v>
      </c>
      <c r="N134" s="88">
        <f t="shared" ca="1" si="46"/>
        <v>0</v>
      </c>
      <c r="O134" s="89">
        <f t="shared" si="47"/>
        <v>0</v>
      </c>
      <c r="P134" s="89">
        <f>IF(OR(E134&lt;食数計算!$F$51,F134&lt;食数計算!$F$52),0,1)</f>
        <v>1</v>
      </c>
      <c r="Q134" s="89">
        <f t="shared" si="48"/>
        <v>0</v>
      </c>
      <c r="R134" s="90">
        <f t="shared" si="49"/>
        <v>0</v>
      </c>
    </row>
    <row r="135" spans="2:18" x14ac:dyDescent="0.15">
      <c r="B135" s="287"/>
      <c r="C135" s="213" t="s">
        <v>343</v>
      </c>
      <c r="D135" s="193">
        <v>97</v>
      </c>
      <c r="E135" s="194">
        <v>150</v>
      </c>
      <c r="F135" s="195">
        <f t="shared" si="50"/>
        <v>49.8</v>
      </c>
      <c r="G135" s="196">
        <v>1</v>
      </c>
      <c r="H135" s="196">
        <v>2</v>
      </c>
      <c r="I135" s="197">
        <v>2</v>
      </c>
      <c r="J135" s="196">
        <v>9</v>
      </c>
      <c r="K135" s="87">
        <f t="shared" si="44"/>
        <v>0</v>
      </c>
      <c r="L135" s="87">
        <f ca="1">IF(OR(E135&lt;面積計算!$F$54,F135&lt;面積計算!$F$55),0,1)</f>
        <v>1</v>
      </c>
      <c r="M135" s="87">
        <f t="shared" ca="1" si="45"/>
        <v>0</v>
      </c>
      <c r="N135" s="88">
        <f t="shared" ca="1" si="46"/>
        <v>0</v>
      </c>
      <c r="O135" s="89">
        <f t="shared" si="47"/>
        <v>0</v>
      </c>
      <c r="P135" s="89">
        <f>IF(OR(E135&lt;食数計算!$F$51,F135&lt;食数計算!$F$52),0,1)</f>
        <v>1</v>
      </c>
      <c r="Q135" s="89">
        <f t="shared" si="48"/>
        <v>0</v>
      </c>
      <c r="R135" s="90">
        <f t="shared" si="49"/>
        <v>0</v>
      </c>
    </row>
    <row r="136" spans="2:18" x14ac:dyDescent="0.15">
      <c r="B136" s="282"/>
      <c r="C136" s="84" t="s">
        <v>348</v>
      </c>
      <c r="D136" s="84">
        <v>500</v>
      </c>
      <c r="E136" s="85">
        <f t="shared" ref="E136:E141" si="51">IF(ROUND(D136*0.75,1)&gt;750,750,ROUND(D136*0.75,1))</f>
        <v>375</v>
      </c>
      <c r="F136" s="85">
        <f t="shared" ref="F136:F141" si="52">ROUNDDOWN(ROUND(D136*0.75,1)*0.332,1)</f>
        <v>124.5</v>
      </c>
      <c r="G136" s="86">
        <v>1</v>
      </c>
      <c r="H136" s="86">
        <v>1</v>
      </c>
      <c r="I136" s="86">
        <v>1</v>
      </c>
      <c r="J136" s="86">
        <v>2</v>
      </c>
      <c r="K136" s="87">
        <f t="shared" ref="K136:K141" si="53">IF(AND(H136=$H$4,I136=$I$4,J136=$J$4),1,0)</f>
        <v>0</v>
      </c>
      <c r="L136" s="87">
        <f ca="1">IF(OR(E136&lt;面積計算!$F$54,F136&lt;面積計算!$F$55),0,1)</f>
        <v>1</v>
      </c>
      <c r="M136" s="87">
        <f t="shared" ref="M136:M141" ca="1" si="54">K136*L136</f>
        <v>0</v>
      </c>
      <c r="N136" s="88">
        <f t="shared" ref="N136:N149" ca="1" si="55">M136/E136*10000</f>
        <v>0</v>
      </c>
      <c r="O136" s="89">
        <f t="shared" ref="O136:O141" si="56">IF(AND(H136=$H$3,I136=$I$3,J136=$J$3),1,0)</f>
        <v>0</v>
      </c>
      <c r="P136" s="89">
        <f>IF(OR(E136&lt;食数計算!$F$51,F136&lt;食数計算!$F$52),0,1)</f>
        <v>1</v>
      </c>
      <c r="Q136" s="89">
        <f t="shared" ref="Q136:Q141" si="57">O136*P136</f>
        <v>0</v>
      </c>
      <c r="R136" s="90">
        <f t="shared" ref="R136:R149" si="58">Q136/E136*10000</f>
        <v>0</v>
      </c>
    </row>
    <row r="137" spans="2:18" x14ac:dyDescent="0.15">
      <c r="B137" s="283"/>
      <c r="C137" s="84" t="s">
        <v>349</v>
      </c>
      <c r="D137" s="84">
        <v>800</v>
      </c>
      <c r="E137" s="85">
        <f t="shared" si="51"/>
        <v>600</v>
      </c>
      <c r="F137" s="85">
        <f t="shared" si="52"/>
        <v>199.2</v>
      </c>
      <c r="G137" s="86">
        <v>1</v>
      </c>
      <c r="H137" s="86">
        <v>1</v>
      </c>
      <c r="I137" s="86">
        <v>1</v>
      </c>
      <c r="J137" s="86">
        <v>2</v>
      </c>
      <c r="K137" s="87">
        <f t="shared" si="53"/>
        <v>0</v>
      </c>
      <c r="L137" s="87">
        <f ca="1">IF(OR(E137&lt;面積計算!$F$54,F137&lt;面積計算!$F$55),0,1)</f>
        <v>1</v>
      </c>
      <c r="M137" s="87">
        <f t="shared" ca="1" si="54"/>
        <v>0</v>
      </c>
      <c r="N137" s="88">
        <f t="shared" ca="1" si="55"/>
        <v>0</v>
      </c>
      <c r="O137" s="89">
        <f t="shared" si="56"/>
        <v>0</v>
      </c>
      <c r="P137" s="89">
        <f>IF(OR(E137&lt;食数計算!$F$51,F137&lt;食数計算!$F$52),0,1)</f>
        <v>1</v>
      </c>
      <c r="Q137" s="89">
        <f t="shared" si="57"/>
        <v>0</v>
      </c>
      <c r="R137" s="90">
        <f t="shared" si="58"/>
        <v>0</v>
      </c>
    </row>
    <row r="138" spans="2:18" ht="13.5" customHeight="1" x14ac:dyDescent="0.15">
      <c r="B138" s="283"/>
      <c r="C138" s="84" t="s">
        <v>350</v>
      </c>
      <c r="D138" s="84">
        <v>1000</v>
      </c>
      <c r="E138" s="85">
        <f t="shared" si="51"/>
        <v>750</v>
      </c>
      <c r="F138" s="85">
        <f t="shared" si="52"/>
        <v>249</v>
      </c>
      <c r="G138" s="86">
        <v>1</v>
      </c>
      <c r="H138" s="86">
        <v>1</v>
      </c>
      <c r="I138" s="86">
        <v>1</v>
      </c>
      <c r="J138" s="86">
        <v>2</v>
      </c>
      <c r="K138" s="87">
        <f t="shared" si="53"/>
        <v>0</v>
      </c>
      <c r="L138" s="87">
        <f ca="1">IF(OR(E138&lt;面積計算!$F$54,F138&lt;面積計算!$F$55),0,1)</f>
        <v>1</v>
      </c>
      <c r="M138" s="87">
        <f t="shared" ca="1" si="54"/>
        <v>0</v>
      </c>
      <c r="N138" s="88">
        <f t="shared" ca="1" si="55"/>
        <v>0</v>
      </c>
      <c r="O138" s="89">
        <f t="shared" si="56"/>
        <v>0</v>
      </c>
      <c r="P138" s="89">
        <f>IF(OR(E138&lt;食数計算!$F$51,F138&lt;食数計算!$F$52),0,1)</f>
        <v>1</v>
      </c>
      <c r="Q138" s="89">
        <f t="shared" si="57"/>
        <v>0</v>
      </c>
      <c r="R138" s="90">
        <f t="shared" si="58"/>
        <v>0</v>
      </c>
    </row>
    <row r="139" spans="2:18" x14ac:dyDescent="0.15">
      <c r="B139" s="282"/>
      <c r="C139" s="84" t="s">
        <v>351</v>
      </c>
      <c r="D139" s="84">
        <v>500</v>
      </c>
      <c r="E139" s="85">
        <f t="shared" si="51"/>
        <v>375</v>
      </c>
      <c r="F139" s="85">
        <f t="shared" si="52"/>
        <v>124.5</v>
      </c>
      <c r="G139" s="86">
        <v>1</v>
      </c>
      <c r="H139" s="86">
        <v>1</v>
      </c>
      <c r="I139" s="86">
        <v>2</v>
      </c>
      <c r="J139" s="86">
        <v>2</v>
      </c>
      <c r="K139" s="87">
        <f t="shared" si="53"/>
        <v>0</v>
      </c>
      <c r="L139" s="87">
        <f ca="1">IF(OR(E139&lt;面積計算!$F$54,F139&lt;面積計算!$F$55),0,1)</f>
        <v>1</v>
      </c>
      <c r="M139" s="87">
        <f t="shared" ca="1" si="54"/>
        <v>0</v>
      </c>
      <c r="N139" s="88">
        <f t="shared" ca="1" si="55"/>
        <v>0</v>
      </c>
      <c r="O139" s="89">
        <f t="shared" si="56"/>
        <v>0</v>
      </c>
      <c r="P139" s="89">
        <f>IF(OR(E139&lt;食数計算!$F$51,F139&lt;食数計算!$F$52),0,1)</f>
        <v>1</v>
      </c>
      <c r="Q139" s="89">
        <f t="shared" si="57"/>
        <v>0</v>
      </c>
      <c r="R139" s="90">
        <f t="shared" si="58"/>
        <v>0</v>
      </c>
    </row>
    <row r="140" spans="2:18" x14ac:dyDescent="0.15">
      <c r="B140" s="283"/>
      <c r="C140" s="84" t="s">
        <v>352</v>
      </c>
      <c r="D140" s="84">
        <v>800</v>
      </c>
      <c r="E140" s="85">
        <f t="shared" si="51"/>
        <v>600</v>
      </c>
      <c r="F140" s="85">
        <f t="shared" si="52"/>
        <v>199.2</v>
      </c>
      <c r="G140" s="86">
        <v>1</v>
      </c>
      <c r="H140" s="86">
        <v>1</v>
      </c>
      <c r="I140" s="86">
        <v>2</v>
      </c>
      <c r="J140" s="86">
        <v>2</v>
      </c>
      <c r="K140" s="87">
        <f t="shared" si="53"/>
        <v>0</v>
      </c>
      <c r="L140" s="87">
        <f ca="1">IF(OR(E140&lt;面積計算!$F$54,F140&lt;面積計算!$F$55),0,1)</f>
        <v>1</v>
      </c>
      <c r="M140" s="87">
        <f t="shared" ca="1" si="54"/>
        <v>0</v>
      </c>
      <c r="N140" s="88">
        <f t="shared" ca="1" si="55"/>
        <v>0</v>
      </c>
      <c r="O140" s="89">
        <f t="shared" si="56"/>
        <v>0</v>
      </c>
      <c r="P140" s="89">
        <f>IF(OR(E140&lt;食数計算!$F$51,F140&lt;食数計算!$F$52),0,1)</f>
        <v>1</v>
      </c>
      <c r="Q140" s="89">
        <f t="shared" si="57"/>
        <v>0</v>
      </c>
      <c r="R140" s="90">
        <f t="shared" si="58"/>
        <v>0</v>
      </c>
    </row>
    <row r="141" spans="2:18" x14ac:dyDescent="0.15">
      <c r="B141" s="283"/>
      <c r="C141" s="84" t="s">
        <v>353</v>
      </c>
      <c r="D141" s="84">
        <v>1000</v>
      </c>
      <c r="E141" s="85">
        <f t="shared" si="51"/>
        <v>750</v>
      </c>
      <c r="F141" s="85">
        <f t="shared" si="52"/>
        <v>249</v>
      </c>
      <c r="G141" s="86">
        <v>1</v>
      </c>
      <c r="H141" s="86">
        <v>1</v>
      </c>
      <c r="I141" s="86">
        <v>2</v>
      </c>
      <c r="J141" s="86">
        <v>2</v>
      </c>
      <c r="K141" s="87">
        <f t="shared" si="53"/>
        <v>0</v>
      </c>
      <c r="L141" s="87">
        <f ca="1">IF(OR(E141&lt;面積計算!$F$54,F141&lt;面積計算!$F$55),0,1)</f>
        <v>1</v>
      </c>
      <c r="M141" s="87">
        <f t="shared" ca="1" si="54"/>
        <v>0</v>
      </c>
      <c r="N141" s="88">
        <f t="shared" ca="1" si="55"/>
        <v>0</v>
      </c>
      <c r="O141" s="89">
        <f t="shared" si="56"/>
        <v>0</v>
      </c>
      <c r="P141" s="89">
        <f>IF(OR(E141&lt;食数計算!$F$51,F141&lt;食数計算!$F$52),0,1)</f>
        <v>1</v>
      </c>
      <c r="Q141" s="89">
        <f t="shared" si="57"/>
        <v>0</v>
      </c>
      <c r="R141" s="90">
        <f t="shared" si="58"/>
        <v>0</v>
      </c>
    </row>
    <row r="142" spans="2:18" x14ac:dyDescent="0.15">
      <c r="B142" s="282"/>
      <c r="C142" s="84" t="s">
        <v>175</v>
      </c>
      <c r="D142" s="84">
        <v>7</v>
      </c>
      <c r="E142" s="85">
        <f t="shared" ref="E142:E149" si="59">IF(ROUND(D142*0.75,1)&gt;750,750,ROUND(D142*0.75,1))</f>
        <v>5.3</v>
      </c>
      <c r="F142" s="85">
        <f t="shared" ref="F142:F149" si="60">ROUNDDOWN(ROUND(D142*0.75,1)*0.315,1)</f>
        <v>1.6</v>
      </c>
      <c r="G142" s="86">
        <v>2</v>
      </c>
      <c r="H142" s="86">
        <v>1</v>
      </c>
      <c r="I142" s="86">
        <v>2</v>
      </c>
      <c r="J142" s="86">
        <v>6</v>
      </c>
      <c r="K142" s="87">
        <f t="shared" ref="K142:K149" si="61">IF(AND(H142=$H$4,I142=$I$4,J142=$J$4),1,0)</f>
        <v>0</v>
      </c>
      <c r="L142" s="87">
        <f ca="1">IF(OR(E142&lt;面積計算!$F$54,F142&lt;面積計算!$F$55),0,1)</f>
        <v>0</v>
      </c>
      <c r="M142" s="87">
        <f t="shared" ref="M142:M149" ca="1" si="62">K142*L142</f>
        <v>0</v>
      </c>
      <c r="N142" s="88">
        <f t="shared" ca="1" si="55"/>
        <v>0</v>
      </c>
      <c r="O142" s="89">
        <f t="shared" ref="O142:O149" si="63">IF(AND(H142=$H$3,I142=$I$3,J142=$J$3),1,0)</f>
        <v>0</v>
      </c>
      <c r="P142" s="89">
        <f>IF(OR(E142&lt;食数計算!$F$51,F142&lt;食数計算!$F$52),0,1)</f>
        <v>1</v>
      </c>
      <c r="Q142" s="89">
        <f t="shared" ref="Q142:Q149" si="64">O142*P142</f>
        <v>0</v>
      </c>
      <c r="R142" s="90">
        <f t="shared" si="58"/>
        <v>0</v>
      </c>
    </row>
    <row r="143" spans="2:18" x14ac:dyDescent="0.15">
      <c r="B143" s="283"/>
      <c r="C143" s="84" t="s">
        <v>176</v>
      </c>
      <c r="D143" s="84">
        <v>15</v>
      </c>
      <c r="E143" s="85">
        <f t="shared" si="59"/>
        <v>11.3</v>
      </c>
      <c r="F143" s="85">
        <f t="shared" si="60"/>
        <v>3.5</v>
      </c>
      <c r="G143" s="86">
        <v>2</v>
      </c>
      <c r="H143" s="86">
        <v>1</v>
      </c>
      <c r="I143" s="86">
        <v>2</v>
      </c>
      <c r="J143" s="86">
        <v>6</v>
      </c>
      <c r="K143" s="87">
        <f t="shared" si="61"/>
        <v>0</v>
      </c>
      <c r="L143" s="87">
        <f ca="1">IF(OR(E143&lt;面積計算!$F$54,F143&lt;面積計算!$F$55),0,1)</f>
        <v>0</v>
      </c>
      <c r="M143" s="87">
        <f t="shared" ca="1" si="62"/>
        <v>0</v>
      </c>
      <c r="N143" s="88">
        <f t="shared" ca="1" si="55"/>
        <v>0</v>
      </c>
      <c r="O143" s="89">
        <f t="shared" si="63"/>
        <v>0</v>
      </c>
      <c r="P143" s="89">
        <f>IF(OR(E143&lt;食数計算!$F$51,F143&lt;食数計算!$F$52),0,1)</f>
        <v>1</v>
      </c>
      <c r="Q143" s="89">
        <f t="shared" si="64"/>
        <v>0</v>
      </c>
      <c r="R143" s="90">
        <f t="shared" si="58"/>
        <v>0</v>
      </c>
    </row>
    <row r="144" spans="2:18" x14ac:dyDescent="0.15">
      <c r="B144" s="283"/>
      <c r="C144" s="84" t="s">
        <v>172</v>
      </c>
      <c r="D144" s="84">
        <v>30</v>
      </c>
      <c r="E144" s="85">
        <f t="shared" si="59"/>
        <v>22.5</v>
      </c>
      <c r="F144" s="85">
        <f t="shared" si="60"/>
        <v>7</v>
      </c>
      <c r="G144" s="86">
        <v>2</v>
      </c>
      <c r="H144" s="86">
        <v>1</v>
      </c>
      <c r="I144" s="86">
        <v>2</v>
      </c>
      <c r="J144" s="86">
        <v>6</v>
      </c>
      <c r="K144" s="87">
        <f t="shared" si="61"/>
        <v>0</v>
      </c>
      <c r="L144" s="87">
        <f ca="1">IF(OR(E144&lt;面積計算!$F$54,F144&lt;面積計算!$F$55),0,1)</f>
        <v>0</v>
      </c>
      <c r="M144" s="87">
        <f t="shared" ca="1" si="62"/>
        <v>0</v>
      </c>
      <c r="N144" s="88">
        <f t="shared" ca="1" si="55"/>
        <v>0</v>
      </c>
      <c r="O144" s="89">
        <f t="shared" si="63"/>
        <v>0</v>
      </c>
      <c r="P144" s="89">
        <f>IF(OR(E144&lt;食数計算!$F$51,F144&lt;食数計算!$F$52),0,1)</f>
        <v>1</v>
      </c>
      <c r="Q144" s="89">
        <f t="shared" si="64"/>
        <v>0</v>
      </c>
      <c r="R144" s="90">
        <f t="shared" si="58"/>
        <v>0</v>
      </c>
    </row>
    <row r="145" spans="2:18" x14ac:dyDescent="0.15">
      <c r="B145" s="284"/>
      <c r="C145" s="84" t="s">
        <v>173</v>
      </c>
      <c r="D145" s="84">
        <v>50</v>
      </c>
      <c r="E145" s="85">
        <f t="shared" si="59"/>
        <v>37.5</v>
      </c>
      <c r="F145" s="85">
        <f t="shared" si="60"/>
        <v>11.8</v>
      </c>
      <c r="G145" s="86">
        <v>2</v>
      </c>
      <c r="H145" s="86">
        <v>1</v>
      </c>
      <c r="I145" s="86">
        <v>2</v>
      </c>
      <c r="J145" s="86">
        <v>6</v>
      </c>
      <c r="K145" s="87">
        <f t="shared" si="61"/>
        <v>0</v>
      </c>
      <c r="L145" s="87">
        <f ca="1">IF(OR(E145&lt;面積計算!$F$54,F145&lt;面積計算!$F$55),0,1)</f>
        <v>0</v>
      </c>
      <c r="M145" s="87">
        <f t="shared" ca="1" si="62"/>
        <v>0</v>
      </c>
      <c r="N145" s="88">
        <f t="shared" ca="1" si="55"/>
        <v>0</v>
      </c>
      <c r="O145" s="89">
        <f t="shared" si="63"/>
        <v>0</v>
      </c>
      <c r="P145" s="89">
        <f>IF(OR(E145&lt;食数計算!$F$51,F145&lt;食数計算!$F$52),0,1)</f>
        <v>1</v>
      </c>
      <c r="Q145" s="89">
        <f t="shared" si="64"/>
        <v>0</v>
      </c>
      <c r="R145" s="90">
        <f t="shared" si="58"/>
        <v>0</v>
      </c>
    </row>
    <row r="146" spans="2:18" x14ac:dyDescent="0.15">
      <c r="B146" s="279"/>
      <c r="C146" s="91" t="s">
        <v>396</v>
      </c>
      <c r="D146" s="91">
        <v>18</v>
      </c>
      <c r="E146" s="92">
        <f t="shared" si="59"/>
        <v>13.5</v>
      </c>
      <c r="F146" s="195">
        <f>ROUNDDOWN(E146*0.332,1)</f>
        <v>4.4000000000000004</v>
      </c>
      <c r="G146" s="93">
        <v>1</v>
      </c>
      <c r="H146" s="93">
        <v>2</v>
      </c>
      <c r="I146" s="93">
        <v>2</v>
      </c>
      <c r="J146" s="93">
        <v>6</v>
      </c>
      <c r="K146" s="87">
        <f t="shared" si="61"/>
        <v>0</v>
      </c>
      <c r="L146" s="87">
        <f ca="1">IF(OR(E146&lt;面積計算!$F$54,F146&lt;面積計算!$F$55),0,1)</f>
        <v>0</v>
      </c>
      <c r="M146" s="87">
        <f t="shared" ca="1" si="62"/>
        <v>0</v>
      </c>
      <c r="N146" s="88">
        <f t="shared" ca="1" si="55"/>
        <v>0</v>
      </c>
      <c r="O146" s="89">
        <f t="shared" si="63"/>
        <v>0</v>
      </c>
      <c r="P146" s="89">
        <f>IF(OR(E146&lt;食数計算!$F$51,F146&lt;食数計算!$F$52),0,1)</f>
        <v>1</v>
      </c>
      <c r="Q146" s="89">
        <f t="shared" si="64"/>
        <v>0</v>
      </c>
      <c r="R146" s="90">
        <f t="shared" si="58"/>
        <v>0</v>
      </c>
    </row>
    <row r="147" spans="2:18" x14ac:dyDescent="0.15">
      <c r="B147" s="280"/>
      <c r="C147" s="91" t="s">
        <v>481</v>
      </c>
      <c r="D147" s="140">
        <v>35</v>
      </c>
      <c r="E147" s="200">
        <f t="shared" si="59"/>
        <v>26.3</v>
      </c>
      <c r="F147" s="200">
        <f t="shared" si="60"/>
        <v>8.1999999999999993</v>
      </c>
      <c r="G147" s="141">
        <v>2</v>
      </c>
      <c r="H147" s="141">
        <v>2</v>
      </c>
      <c r="I147" s="141">
        <v>2</v>
      </c>
      <c r="J147" s="141">
        <v>6</v>
      </c>
      <c r="K147" s="87">
        <f t="shared" si="61"/>
        <v>0</v>
      </c>
      <c r="L147" s="87">
        <f ca="1">IF(OR(E147&lt;面積計算!$F$54,F147&lt;面積計算!$F$55),0,1)</f>
        <v>0</v>
      </c>
      <c r="M147" s="87">
        <f ca="1">K147*L147</f>
        <v>0</v>
      </c>
      <c r="N147" s="88">
        <f t="shared" ca="1" si="55"/>
        <v>0</v>
      </c>
      <c r="O147" s="89">
        <f t="shared" si="63"/>
        <v>0</v>
      </c>
      <c r="P147" s="89">
        <f>IF(OR(E147&lt;食数計算!$F$51,F147&lt;食数計算!$F$52),0,1)</f>
        <v>1</v>
      </c>
      <c r="Q147" s="89">
        <f>O147*P147</f>
        <v>0</v>
      </c>
      <c r="R147" s="90">
        <f t="shared" si="58"/>
        <v>0</v>
      </c>
    </row>
    <row r="148" spans="2:18" x14ac:dyDescent="0.15">
      <c r="B148" s="281"/>
      <c r="C148" s="91" t="s">
        <v>397</v>
      </c>
      <c r="D148" s="91">
        <v>45</v>
      </c>
      <c r="E148" s="92">
        <f t="shared" si="59"/>
        <v>33.799999999999997</v>
      </c>
      <c r="F148" s="195">
        <f>ROUNDDOWN(E148*0.332,1)</f>
        <v>11.2</v>
      </c>
      <c r="G148" s="93">
        <v>1</v>
      </c>
      <c r="H148" s="93">
        <v>2</v>
      </c>
      <c r="I148" s="93">
        <v>2</v>
      </c>
      <c r="J148" s="93">
        <v>6</v>
      </c>
      <c r="K148" s="87">
        <f t="shared" si="61"/>
        <v>0</v>
      </c>
      <c r="L148" s="87">
        <f ca="1">IF(OR(E148&lt;面積計算!$F$54,F148&lt;面積計算!$F$55),0,1)</f>
        <v>0</v>
      </c>
      <c r="M148" s="87">
        <f t="shared" ca="1" si="62"/>
        <v>0</v>
      </c>
      <c r="N148" s="88">
        <f t="shared" ca="1" si="55"/>
        <v>0</v>
      </c>
      <c r="O148" s="89">
        <f t="shared" si="63"/>
        <v>0</v>
      </c>
      <c r="P148" s="89">
        <f>IF(OR(E148&lt;食数計算!$F$51,F148&lt;食数計算!$F$52),0,1)</f>
        <v>1</v>
      </c>
      <c r="Q148" s="89">
        <f t="shared" si="64"/>
        <v>0</v>
      </c>
      <c r="R148" s="90">
        <f t="shared" si="58"/>
        <v>0</v>
      </c>
    </row>
    <row r="149" spans="2:18" x14ac:dyDescent="0.15">
      <c r="B149" s="215"/>
      <c r="C149" s="91" t="s">
        <v>174</v>
      </c>
      <c r="D149" s="91">
        <v>7</v>
      </c>
      <c r="E149" s="92">
        <f t="shared" si="59"/>
        <v>5.3</v>
      </c>
      <c r="F149" s="92">
        <f t="shared" si="60"/>
        <v>1.6</v>
      </c>
      <c r="G149" s="93">
        <v>2</v>
      </c>
      <c r="H149" s="93">
        <v>2</v>
      </c>
      <c r="I149" s="93">
        <v>2</v>
      </c>
      <c r="J149" s="93">
        <v>6</v>
      </c>
      <c r="K149" s="87">
        <f t="shared" si="61"/>
        <v>0</v>
      </c>
      <c r="L149" s="87">
        <f ca="1">IF(OR(E149&lt;面積計算!$F$54,F149&lt;面積計算!$F$55),0,1)</f>
        <v>0</v>
      </c>
      <c r="M149" s="87">
        <f t="shared" ca="1" si="62"/>
        <v>0</v>
      </c>
      <c r="N149" s="88">
        <f t="shared" ca="1" si="55"/>
        <v>0</v>
      </c>
      <c r="O149" s="89">
        <f t="shared" si="63"/>
        <v>0</v>
      </c>
      <c r="P149" s="89">
        <f>IF(OR(E149&lt;食数計算!$F$51,F149&lt;食数計算!$F$52),0,1)</f>
        <v>1</v>
      </c>
      <c r="Q149" s="89">
        <f t="shared" si="64"/>
        <v>0</v>
      </c>
      <c r="R149" s="90">
        <f t="shared" si="58"/>
        <v>0</v>
      </c>
    </row>
    <row r="150" spans="2:18" x14ac:dyDescent="0.15">
      <c r="B150" s="214"/>
      <c r="C150" s="199" t="s">
        <v>480</v>
      </c>
      <c r="D150" s="91">
        <v>7</v>
      </c>
      <c r="E150" s="92">
        <f>IF(ROUND(D150*0.75,1)&gt;750,750,ROUND(D150*0.75,1))</f>
        <v>5.3</v>
      </c>
      <c r="F150" s="92">
        <f>ROUNDDOWN(ROUND(D150*0.75,1)*0.315,1)</f>
        <v>1.6</v>
      </c>
      <c r="G150" s="93">
        <v>2</v>
      </c>
      <c r="H150" s="93">
        <v>2</v>
      </c>
      <c r="I150" s="93">
        <v>2</v>
      </c>
      <c r="J150" s="93">
        <v>6</v>
      </c>
      <c r="K150" s="87">
        <f>IF(AND(H150=$H$4,I150=$I$4,J150=$J$4),1,0)</f>
        <v>0</v>
      </c>
      <c r="L150" s="87">
        <f ca="1">IF(OR(E150&lt;面積計算!$F$54,F150&lt;面積計算!$F$55),0,1)</f>
        <v>0</v>
      </c>
      <c r="M150" s="87">
        <f ca="1">K150*L150</f>
        <v>0</v>
      </c>
      <c r="N150" s="88">
        <f ca="1">M150/E150*10000</f>
        <v>0</v>
      </c>
      <c r="O150" s="89">
        <f>IF(AND(H150=$H$3,I150=$I$3,J150=$J$3),1,0)</f>
        <v>0</v>
      </c>
      <c r="P150" s="89">
        <f>IF(OR(E150&lt;食数計算!$F$51,F150&lt;食数計算!$F$52),0,1)</f>
        <v>1</v>
      </c>
      <c r="Q150" s="89">
        <f>O150*P150</f>
        <v>0</v>
      </c>
      <c r="R150" s="90">
        <f>Q150/E150*10000</f>
        <v>0</v>
      </c>
    </row>
    <row r="151" spans="2:18" x14ac:dyDescent="0.15">
      <c r="B151" s="275"/>
      <c r="C151" s="84" t="s">
        <v>490</v>
      </c>
      <c r="D151" s="84">
        <v>11</v>
      </c>
      <c r="E151" s="241">
        <v>15</v>
      </c>
      <c r="F151" s="241">
        <f t="shared" ref="F151:F154" si="65">ROUNDDOWN(E151*0.332,1)</f>
        <v>4.9000000000000004</v>
      </c>
      <c r="G151" s="86">
        <v>1</v>
      </c>
      <c r="H151" s="86">
        <v>1</v>
      </c>
      <c r="I151" s="86">
        <v>2</v>
      </c>
      <c r="J151" s="86">
        <v>7</v>
      </c>
      <c r="K151" s="87">
        <f t="shared" ref="K151:K154" si="66">IF(AND(H151=$H$4,I151=$I$4,J151=$J$4),1,0)</f>
        <v>0</v>
      </c>
      <c r="L151" s="87">
        <f ca="1">IF(OR(E151&lt;面積計算!$F$54,F151&lt;面積計算!$F$55),0,1)</f>
        <v>0</v>
      </c>
      <c r="M151" s="87">
        <f t="shared" ref="M151:M154" ca="1" si="67">K151*L151</f>
        <v>0</v>
      </c>
      <c r="N151" s="88">
        <f t="shared" ref="N151:N154" ca="1" si="68">M151/E151*10000</f>
        <v>0</v>
      </c>
      <c r="O151" s="89">
        <f t="shared" ref="O151:O154" si="69">IF(AND(H151=$H$3,I151=$I$3,J151=$J$3),1,0)</f>
        <v>0</v>
      </c>
      <c r="P151" s="89">
        <f>IF(OR(E151&lt;食数計算!$F$51,F151&lt;食数計算!$F$52),0,1)</f>
        <v>1</v>
      </c>
      <c r="Q151" s="89">
        <f t="shared" ref="Q151:Q154" si="70">O151*P151</f>
        <v>0</v>
      </c>
      <c r="R151" s="90">
        <f t="shared" ref="R151:R154" si="71">Q151/E151*10000</f>
        <v>0</v>
      </c>
    </row>
    <row r="152" spans="2:18" x14ac:dyDescent="0.15">
      <c r="B152" s="275"/>
      <c r="C152" s="84" t="s">
        <v>491</v>
      </c>
      <c r="D152" s="84">
        <v>19</v>
      </c>
      <c r="E152" s="241">
        <v>30</v>
      </c>
      <c r="F152" s="241">
        <f t="shared" si="65"/>
        <v>9.9</v>
      </c>
      <c r="G152" s="86">
        <v>1</v>
      </c>
      <c r="H152" s="86">
        <v>1</v>
      </c>
      <c r="I152" s="86">
        <v>2</v>
      </c>
      <c r="J152" s="86">
        <v>7</v>
      </c>
      <c r="K152" s="87">
        <f t="shared" si="66"/>
        <v>0</v>
      </c>
      <c r="L152" s="87">
        <f ca="1">IF(OR(E152&lt;面積計算!$F$54,F152&lt;面積計算!$F$55),0,1)</f>
        <v>0</v>
      </c>
      <c r="M152" s="87">
        <f t="shared" ca="1" si="67"/>
        <v>0</v>
      </c>
      <c r="N152" s="88">
        <f t="shared" ca="1" si="68"/>
        <v>0</v>
      </c>
      <c r="O152" s="89">
        <f t="shared" si="69"/>
        <v>0</v>
      </c>
      <c r="P152" s="89">
        <f>IF(OR(E152&lt;食数計算!$F$51,F152&lt;食数計算!$F$52),0,1)</f>
        <v>1</v>
      </c>
      <c r="Q152" s="89">
        <f t="shared" si="70"/>
        <v>0</v>
      </c>
      <c r="R152" s="90">
        <f t="shared" si="71"/>
        <v>0</v>
      </c>
    </row>
    <row r="153" spans="2:18" x14ac:dyDescent="0.15">
      <c r="B153" s="275"/>
      <c r="C153" s="84" t="s">
        <v>492</v>
      </c>
      <c r="D153" s="84">
        <v>8</v>
      </c>
      <c r="E153" s="241">
        <v>15</v>
      </c>
      <c r="F153" s="241">
        <f t="shared" si="65"/>
        <v>4.9000000000000004</v>
      </c>
      <c r="G153" s="86">
        <v>1</v>
      </c>
      <c r="H153" s="86">
        <v>1</v>
      </c>
      <c r="I153" s="86">
        <v>2</v>
      </c>
      <c r="J153" s="86">
        <v>6</v>
      </c>
      <c r="K153" s="87">
        <f t="shared" si="66"/>
        <v>0</v>
      </c>
      <c r="L153" s="87">
        <f ca="1">IF(OR(E153&lt;面積計算!$F$54,F153&lt;面積計算!$F$55),0,1)</f>
        <v>0</v>
      </c>
      <c r="M153" s="87">
        <f t="shared" ca="1" si="67"/>
        <v>0</v>
      </c>
      <c r="N153" s="88">
        <f t="shared" ca="1" si="68"/>
        <v>0</v>
      </c>
      <c r="O153" s="89">
        <f t="shared" si="69"/>
        <v>0</v>
      </c>
      <c r="P153" s="89">
        <f>IF(OR(E153&lt;食数計算!$F$51,F153&lt;食数計算!$F$52),0,1)</f>
        <v>1</v>
      </c>
      <c r="Q153" s="89">
        <f t="shared" si="70"/>
        <v>0</v>
      </c>
      <c r="R153" s="90">
        <f t="shared" si="71"/>
        <v>0</v>
      </c>
    </row>
    <row r="154" spans="2:18" x14ac:dyDescent="0.15">
      <c r="B154" s="275"/>
      <c r="C154" s="84" t="s">
        <v>493</v>
      </c>
      <c r="D154" s="84">
        <v>18</v>
      </c>
      <c r="E154" s="241">
        <v>30</v>
      </c>
      <c r="F154" s="241">
        <f t="shared" si="65"/>
        <v>9.9</v>
      </c>
      <c r="G154" s="86">
        <v>1</v>
      </c>
      <c r="H154" s="86">
        <v>1</v>
      </c>
      <c r="I154" s="86">
        <v>2</v>
      </c>
      <c r="J154" s="86">
        <v>6</v>
      </c>
      <c r="K154" s="87">
        <f t="shared" si="66"/>
        <v>0</v>
      </c>
      <c r="L154" s="87">
        <f ca="1">IF(OR(E154&lt;面積計算!$F$54,F154&lt;面積計算!$F$55),0,1)</f>
        <v>0</v>
      </c>
      <c r="M154" s="87">
        <f t="shared" ca="1" si="67"/>
        <v>0</v>
      </c>
      <c r="N154" s="88">
        <f t="shared" ca="1" si="68"/>
        <v>0</v>
      </c>
      <c r="O154" s="89">
        <f t="shared" si="69"/>
        <v>0</v>
      </c>
      <c r="P154" s="89">
        <f>IF(OR(E154&lt;食数計算!$F$51,F154&lt;食数計算!$F$52),0,1)</f>
        <v>1</v>
      </c>
      <c r="Q154" s="89">
        <f t="shared" si="70"/>
        <v>0</v>
      </c>
      <c r="R154" s="90">
        <f t="shared" si="71"/>
        <v>0</v>
      </c>
    </row>
    <row r="156" spans="2:18" x14ac:dyDescent="0.15">
      <c r="B156" s="148"/>
      <c r="C156" s="43" t="s">
        <v>294</v>
      </c>
    </row>
    <row r="157" spans="2:18" x14ac:dyDescent="0.15">
      <c r="B157" s="149"/>
      <c r="C157" s="44" t="s">
        <v>307</v>
      </c>
    </row>
    <row r="158" spans="2:18" x14ac:dyDescent="0.15">
      <c r="B158" s="150"/>
      <c r="C158" s="43" t="s">
        <v>295</v>
      </c>
    </row>
  </sheetData>
  <sheetProtection algorithmName="SHA-512" hashValue="q2VYPWr2Nqqe3saJ6DGviTeUwxfKZ5Vb90hDyGrpGmz55MdpRnpsLIAk2Qc1XglfY5Fntuf43Fbs+RybVhn18w==" saltValue="20kV+cUQ2wcyRph/Ib1yVA==" spinCount="100000" sheet="1" objects="1" scenarios="1"/>
  <autoFilter ref="A20:R141" xr:uid="{00000000-0009-0000-0000-000004000000}"/>
  <mergeCells count="11">
    <mergeCell ref="B151:B154"/>
    <mergeCell ref="B85:B92"/>
    <mergeCell ref="B93:B100"/>
    <mergeCell ref="B146:B148"/>
    <mergeCell ref="B142:B145"/>
    <mergeCell ref="B139:B141"/>
    <mergeCell ref="B136:B138"/>
    <mergeCell ref="B130:B135"/>
    <mergeCell ref="B101:B106"/>
    <mergeCell ref="B107:B112"/>
    <mergeCell ref="B122:B129"/>
  </mergeCells>
  <phoneticPr fontId="2"/>
  <pageMargins left="0" right="0" top="0" bottom="0" header="0.51181102362204722" footer="0.51181102362204722"/>
  <pageSetup paperSize="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条件入力</vt:lpstr>
      <vt:lpstr>面積計算</vt:lpstr>
      <vt:lpstr>食数計算</vt:lpstr>
      <vt:lpstr>改定記録</vt:lpstr>
      <vt:lpstr>阻集器一覧表</vt:lpstr>
      <vt:lpstr>改定記録!Print_Area</vt:lpstr>
      <vt:lpstr>条件入力!Print_Area</vt:lpstr>
      <vt:lpstr>食数計算!Print_Area</vt:lpstr>
      <vt:lpstr>阻集器一覧表!Print_Area</vt:lpstr>
      <vt:lpstr>面積計算!Print_Area</vt:lpstr>
    </vt:vector>
  </TitlesOfParts>
  <Company>ホーコス株式会社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0256</dc:creator>
  <cp:lastModifiedBy>伊藤　尊</cp:lastModifiedBy>
  <cp:lastPrinted>2020-06-03T00:07:31Z</cp:lastPrinted>
  <dcterms:created xsi:type="dcterms:W3CDTF">2003-07-29T23:35:14Z</dcterms:created>
  <dcterms:modified xsi:type="dcterms:W3CDTF">2023-10-24T08:37:59Z</dcterms:modified>
</cp:coreProperties>
</file>